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b040795\Downloads\"/>
    </mc:Choice>
  </mc:AlternateContent>
  <bookViews>
    <workbookView xWindow="0" yWindow="0" windowWidth="15530" windowHeight="7010" tabRatio="898"/>
  </bookViews>
  <sheets>
    <sheet name="Índice" sheetId="1" r:id="rId1"/>
    <sheet name="Balanço Patrimonial" sheetId="9" r:id="rId2"/>
    <sheet name="DRE Trimestral" sheetId="2" r:id="rId3"/>
    <sheet name="DRE Anual" sheetId="16" r:id="rId4"/>
    <sheet name="DRE Gerencial (Trimestral)" sheetId="10" state="hidden" r:id="rId5"/>
    <sheet name="DRE Gerencial (Anual)" sheetId="17" state="hidden" r:id="rId6"/>
    <sheet name="Captação" sheetId="12" r:id="rId7"/>
    <sheet name="Gerenciamento_Capital" sheetId="14" r:id="rId8"/>
    <sheet name="Dividendos e JCP" sheetId="15" r:id="rId9"/>
    <sheet name="Notas Explicativas" sheetId="26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Regression_Int" hidden="1">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" i="26" l="1"/>
  <c r="L47" i="26" s="1"/>
  <c r="L26" i="26"/>
  <c r="L45" i="12"/>
  <c r="L46" i="12" l="1"/>
  <c r="L28" i="2" l="1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L43" i="9"/>
  <c r="Y31" i="14" l="1"/>
  <c r="X31" i="14"/>
  <c r="W31" i="14"/>
  <c r="V31" i="14"/>
  <c r="U31" i="14"/>
  <c r="T31" i="14"/>
  <c r="S31" i="14"/>
  <c r="R31" i="14"/>
  <c r="Q31" i="14"/>
  <c r="P31" i="14"/>
  <c r="O31" i="14"/>
  <c r="N31" i="14"/>
  <c r="M31" i="14"/>
  <c r="Y106" i="9" l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D106" i="9"/>
  <c r="C106" i="9"/>
  <c r="B106" i="9"/>
  <c r="C48" i="9" l="1"/>
  <c r="D48" i="9"/>
  <c r="E48" i="9"/>
  <c r="F48" i="9"/>
  <c r="G48" i="9"/>
  <c r="H48" i="9"/>
  <c r="I48" i="9"/>
  <c r="J48" i="9"/>
  <c r="K48" i="9"/>
  <c r="L48" i="9"/>
  <c r="L42" i="9" s="1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B48" i="9"/>
  <c r="C38" i="9"/>
  <c r="D38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B38" i="9"/>
  <c r="C43" i="9"/>
  <c r="C42" i="9" s="1"/>
  <c r="D43" i="9"/>
  <c r="D42" i="9" s="1"/>
  <c r="E43" i="9"/>
  <c r="E42" i="9" s="1"/>
  <c r="F43" i="9"/>
  <c r="F42" i="9" s="1"/>
  <c r="G43" i="9"/>
  <c r="G42" i="9" s="1"/>
  <c r="H43" i="9"/>
  <c r="I43" i="9"/>
  <c r="I42" i="9" s="1"/>
  <c r="J43" i="9"/>
  <c r="K43" i="9"/>
  <c r="M43" i="9"/>
  <c r="M42" i="9" s="1"/>
  <c r="N43" i="9"/>
  <c r="N42" i="9" s="1"/>
  <c r="O43" i="9"/>
  <c r="O42" i="9" s="1"/>
  <c r="P43" i="9"/>
  <c r="P42" i="9" s="1"/>
  <c r="Q43" i="9"/>
  <c r="Q42" i="9" s="1"/>
  <c r="R43" i="9"/>
  <c r="S43" i="9"/>
  <c r="S42" i="9" s="1"/>
  <c r="T43" i="9"/>
  <c r="T42" i="9" s="1"/>
  <c r="U43" i="9"/>
  <c r="U42" i="9" s="1"/>
  <c r="V43" i="9"/>
  <c r="V42" i="9" s="1"/>
  <c r="W43" i="9"/>
  <c r="W42" i="9" s="1"/>
  <c r="X43" i="9"/>
  <c r="X42" i="9" s="1"/>
  <c r="Y43" i="9"/>
  <c r="Y42" i="9" s="1"/>
  <c r="B43" i="9"/>
  <c r="C31" i="9"/>
  <c r="D31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B31" i="9"/>
  <c r="C27" i="9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B27" i="9"/>
  <c r="C25" i="9"/>
  <c r="D25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B25" i="9"/>
  <c r="C21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B21" i="9"/>
  <c r="C16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B16" i="9"/>
  <c r="K46" i="12"/>
  <c r="E28" i="16"/>
  <c r="F28" i="16"/>
  <c r="G28" i="16"/>
  <c r="C28" i="2"/>
  <c r="D28" i="2"/>
  <c r="E28" i="2"/>
  <c r="F28" i="2"/>
  <c r="G28" i="2"/>
  <c r="H28" i="2"/>
  <c r="I28" i="2"/>
  <c r="J28" i="2"/>
  <c r="B28" i="2"/>
  <c r="H42" i="9" l="1"/>
  <c r="K42" i="9"/>
  <c r="B42" i="9"/>
  <c r="R42" i="9"/>
  <c r="J42" i="9"/>
  <c r="K26" i="26" l="1"/>
  <c r="K47" i="26" s="1"/>
  <c r="K46" i="26"/>
  <c r="K45" i="12"/>
  <c r="I25" i="26" l="1"/>
  <c r="I73" i="9" l="1"/>
  <c r="I72" i="9"/>
  <c r="I71" i="9"/>
  <c r="J73" i="9"/>
  <c r="J71" i="9"/>
  <c r="I68" i="9"/>
  <c r="I67" i="9"/>
  <c r="J68" i="9"/>
  <c r="J67" i="9"/>
  <c r="F66" i="9"/>
  <c r="G66" i="9"/>
  <c r="Y66" i="9"/>
  <c r="X66" i="9"/>
  <c r="W66" i="9"/>
  <c r="V66" i="9"/>
  <c r="U66" i="9"/>
  <c r="T66" i="9"/>
  <c r="S66" i="9"/>
  <c r="R66" i="9"/>
  <c r="Q66" i="9"/>
  <c r="P66" i="9"/>
  <c r="O66" i="9"/>
  <c r="N66" i="9"/>
  <c r="M66" i="9"/>
  <c r="L66" i="9"/>
  <c r="K66" i="9"/>
  <c r="H66" i="9"/>
  <c r="E66" i="9"/>
  <c r="D66" i="9"/>
  <c r="C66" i="9"/>
  <c r="B66" i="9"/>
  <c r="K70" i="9"/>
  <c r="L70" i="9"/>
  <c r="M70" i="9"/>
  <c r="N70" i="9"/>
  <c r="O70" i="9"/>
  <c r="P70" i="9"/>
  <c r="Q70" i="9"/>
  <c r="R70" i="9"/>
  <c r="S70" i="9"/>
  <c r="T70" i="9"/>
  <c r="U70" i="9"/>
  <c r="V70" i="9"/>
  <c r="W70" i="9"/>
  <c r="X70" i="9"/>
  <c r="Y70" i="9"/>
  <c r="B71" i="9"/>
  <c r="C71" i="9"/>
  <c r="D71" i="9"/>
  <c r="E71" i="9"/>
  <c r="F71" i="9"/>
  <c r="G71" i="9"/>
  <c r="H71" i="9"/>
  <c r="I66" i="9" l="1"/>
  <c r="J66" i="9"/>
  <c r="J12" i="26" l="1"/>
  <c r="J46" i="12" l="1"/>
  <c r="J46" i="26" l="1"/>
  <c r="J26" i="26"/>
  <c r="J47" i="26" s="1"/>
  <c r="J45" i="12"/>
  <c r="I45" i="12"/>
  <c r="H45" i="12"/>
  <c r="J138" i="9" l="1"/>
  <c r="J77" i="9"/>
  <c r="J76" i="9"/>
  <c r="J72" i="9"/>
  <c r="J70" i="9" s="1"/>
  <c r="J64" i="9"/>
  <c r="J63" i="9"/>
  <c r="J133" i="9" l="1"/>
  <c r="J128" i="9" s="1"/>
  <c r="J41" i="2"/>
  <c r="I46" i="26" l="1"/>
  <c r="I12" i="26"/>
  <c r="I26" i="26" s="1"/>
  <c r="I46" i="12"/>
  <c r="I47" i="26" l="1"/>
  <c r="C46" i="12"/>
  <c r="D46" i="12"/>
  <c r="E46" i="12"/>
  <c r="F46" i="12"/>
  <c r="G46" i="12"/>
  <c r="B46" i="12"/>
  <c r="C56" i="16" l="1"/>
  <c r="C54" i="16"/>
  <c r="C53" i="16"/>
  <c r="C50" i="16"/>
  <c r="C49" i="16"/>
  <c r="C48" i="16"/>
  <c r="C43" i="16"/>
  <c r="C42" i="16"/>
  <c r="C36" i="16"/>
  <c r="C35" i="16"/>
  <c r="C34" i="16"/>
  <c r="C33" i="16"/>
  <c r="C32" i="16"/>
  <c r="C31" i="16"/>
  <c r="C30" i="16"/>
  <c r="C24" i="16"/>
  <c r="C21" i="16"/>
  <c r="C20" i="16"/>
  <c r="C19" i="16"/>
  <c r="C16" i="16"/>
  <c r="C15" i="16"/>
  <c r="C14" i="16"/>
  <c r="C13" i="16"/>
  <c r="C12" i="16"/>
  <c r="C11" i="16"/>
  <c r="I77" i="9" l="1"/>
  <c r="I76" i="9"/>
  <c r="I70" i="9"/>
  <c r="I64" i="9"/>
  <c r="I63" i="9"/>
  <c r="H32" i="14" l="1"/>
  <c r="G32" i="14"/>
  <c r="H29" i="14"/>
  <c r="G29" i="14"/>
  <c r="H27" i="14"/>
  <c r="G27" i="14"/>
  <c r="H46" i="26"/>
  <c r="H12" i="26"/>
  <c r="H26" i="26" s="1"/>
  <c r="H47" i="26" s="1"/>
  <c r="H77" i="9" l="1"/>
  <c r="H76" i="9"/>
  <c r="H73" i="9"/>
  <c r="H72" i="9"/>
  <c r="H64" i="9"/>
  <c r="H63" i="9"/>
  <c r="H70" i="9" l="1"/>
  <c r="H46" i="12"/>
  <c r="H33" i="14" l="1"/>
  <c r="E33" i="14"/>
  <c r="G46" i="26" l="1"/>
  <c r="G12" i="26"/>
  <c r="G26" i="26" s="1"/>
  <c r="G47" i="26" s="1"/>
  <c r="G45" i="12" l="1"/>
  <c r="F45" i="12"/>
  <c r="G77" i="9" l="1"/>
  <c r="G76" i="9"/>
  <c r="G73" i="9"/>
  <c r="G72" i="9"/>
  <c r="G64" i="9"/>
  <c r="G63" i="9"/>
  <c r="G70" i="9" l="1"/>
  <c r="F12" i="26"/>
  <c r="F26" i="26" s="1"/>
  <c r="F47" i="26" s="1"/>
  <c r="F46" i="26"/>
  <c r="Y109" i="9" l="1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Y98" i="9"/>
  <c r="X98" i="9"/>
  <c r="W98" i="9"/>
  <c r="V98" i="9"/>
  <c r="U98" i="9"/>
  <c r="T98" i="9"/>
  <c r="S98" i="9"/>
  <c r="R98" i="9"/>
  <c r="Q98" i="9"/>
  <c r="P98" i="9"/>
  <c r="O98" i="9"/>
  <c r="N98" i="9"/>
  <c r="M98" i="9"/>
  <c r="L98" i="9"/>
  <c r="K98" i="9"/>
  <c r="J98" i="9"/>
  <c r="I98" i="9"/>
  <c r="H98" i="9"/>
  <c r="G98" i="9"/>
  <c r="F98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Y84" i="9"/>
  <c r="X84" i="9"/>
  <c r="W84" i="9"/>
  <c r="V84" i="9"/>
  <c r="U84" i="9"/>
  <c r="T84" i="9"/>
  <c r="S84" i="9"/>
  <c r="R84" i="9"/>
  <c r="Q84" i="9"/>
  <c r="P84" i="9"/>
  <c r="O84" i="9"/>
  <c r="N84" i="9"/>
  <c r="M84" i="9"/>
  <c r="L84" i="9"/>
  <c r="K84" i="9"/>
  <c r="J84" i="9"/>
  <c r="I84" i="9"/>
  <c r="H84" i="9"/>
  <c r="G84" i="9"/>
  <c r="F77" i="9"/>
  <c r="F76" i="9"/>
  <c r="F73" i="9"/>
  <c r="F72" i="9"/>
  <c r="F64" i="9"/>
  <c r="F63" i="9"/>
  <c r="F70" i="9" l="1"/>
  <c r="F94" i="9"/>
  <c r="F84" i="9"/>
  <c r="E45" i="12" l="1"/>
  <c r="E46" i="26"/>
  <c r="E12" i="26"/>
  <c r="E26" i="26" l="1"/>
  <c r="E47" i="26" s="1"/>
  <c r="B56" i="16"/>
  <c r="B54" i="16"/>
  <c r="B53" i="16"/>
  <c r="B50" i="16"/>
  <c r="B49" i="16"/>
  <c r="B48" i="16"/>
  <c r="B43" i="16"/>
  <c r="B42" i="16"/>
  <c r="B36" i="16"/>
  <c r="B35" i="16"/>
  <c r="B34" i="16"/>
  <c r="B33" i="16"/>
  <c r="B32" i="16"/>
  <c r="B31" i="16"/>
  <c r="B30" i="16"/>
  <c r="B24" i="16"/>
  <c r="B21" i="16"/>
  <c r="B20" i="16"/>
  <c r="B19" i="16"/>
  <c r="B16" i="16"/>
  <c r="B15" i="16"/>
  <c r="B14" i="16"/>
  <c r="B13" i="16"/>
  <c r="B12" i="16"/>
  <c r="B11" i="16"/>
  <c r="E98" i="9" l="1"/>
  <c r="E77" i="9"/>
  <c r="E76" i="9"/>
  <c r="E73" i="9"/>
  <c r="E72" i="9"/>
  <c r="E64" i="9"/>
  <c r="E63" i="9"/>
  <c r="E70" i="9" l="1"/>
  <c r="E84" i="9"/>
  <c r="E94" i="9"/>
  <c r="D17" i="12" l="1"/>
  <c r="D12" i="26" l="1"/>
  <c r="D46" i="26" l="1"/>
  <c r="D26" i="26"/>
  <c r="D47" i="26" s="1"/>
  <c r="D14" i="14"/>
  <c r="D45" i="12"/>
  <c r="D77" i="9"/>
  <c r="D76" i="9"/>
  <c r="D73" i="9"/>
  <c r="D72" i="9"/>
  <c r="D64" i="9"/>
  <c r="D63" i="9"/>
  <c r="D70" i="9" l="1"/>
  <c r="D84" i="9"/>
  <c r="D94" i="9"/>
  <c r="D98" i="9"/>
  <c r="C17" i="12" l="1"/>
  <c r="C46" i="26" l="1"/>
  <c r="C12" i="26"/>
  <c r="C26" i="26" s="1"/>
  <c r="C47" i="26" s="1"/>
  <c r="C33" i="14" l="1"/>
  <c r="C17" i="14" l="1"/>
  <c r="C20" i="14"/>
  <c r="C36" i="14" s="1"/>
  <c r="C14" i="14"/>
  <c r="C12" i="14"/>
  <c r="C45" i="12"/>
  <c r="C26" i="14" l="1"/>
  <c r="C27" i="14" s="1"/>
  <c r="C24" i="14"/>
  <c r="C28" i="14"/>
  <c r="C29" i="14" s="1"/>
  <c r="C35" i="14"/>
  <c r="C11" i="14"/>
  <c r="C98" i="9"/>
  <c r="C77" i="9"/>
  <c r="C76" i="9"/>
  <c r="C73" i="9"/>
  <c r="C72" i="9"/>
  <c r="C64" i="9"/>
  <c r="C63" i="9"/>
  <c r="C70" i="9" l="1"/>
  <c r="C84" i="9"/>
  <c r="C94" i="9"/>
  <c r="C31" i="14"/>
  <c r="C32" i="14" s="1"/>
  <c r="C25" i="14"/>
  <c r="C34" i="14"/>
  <c r="B17" i="14"/>
  <c r="C18" i="16" l="1"/>
  <c r="D18" i="16"/>
  <c r="D22" i="16" s="1"/>
  <c r="E18" i="16"/>
  <c r="F18" i="16"/>
  <c r="G18" i="16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C138" i="9"/>
  <c r="D138" i="9"/>
  <c r="E138" i="9"/>
  <c r="F138" i="9"/>
  <c r="G138" i="9"/>
  <c r="H138" i="9"/>
  <c r="I138" i="9"/>
  <c r="K138" i="9"/>
  <c r="L138" i="9"/>
  <c r="M138" i="9"/>
  <c r="N138" i="9"/>
  <c r="O138" i="9"/>
  <c r="P138" i="9"/>
  <c r="Q138" i="9"/>
  <c r="R138" i="9"/>
  <c r="S138" i="9"/>
  <c r="T138" i="9"/>
  <c r="U138" i="9"/>
  <c r="V138" i="9"/>
  <c r="W138" i="9"/>
  <c r="X138" i="9"/>
  <c r="Y138" i="9"/>
  <c r="C133" i="9"/>
  <c r="D133" i="9"/>
  <c r="E133" i="9"/>
  <c r="F133" i="9"/>
  <c r="G133" i="9"/>
  <c r="H133" i="9"/>
  <c r="H128" i="9" s="1"/>
  <c r="I133" i="9"/>
  <c r="K133" i="9"/>
  <c r="L133" i="9"/>
  <c r="M135" i="9"/>
  <c r="M133" i="9" s="1"/>
  <c r="N135" i="9"/>
  <c r="N133" i="9" s="1"/>
  <c r="O135" i="9"/>
  <c r="O133" i="9" s="1"/>
  <c r="P135" i="9"/>
  <c r="P133" i="9" s="1"/>
  <c r="P128" i="9" s="1"/>
  <c r="Q135" i="9"/>
  <c r="Q133" i="9" s="1"/>
  <c r="Q128" i="9" s="1"/>
  <c r="R135" i="9"/>
  <c r="S135" i="9"/>
  <c r="S133" i="9" s="1"/>
  <c r="T135" i="9"/>
  <c r="T133" i="9" s="1"/>
  <c r="U135" i="9"/>
  <c r="U133" i="9" s="1"/>
  <c r="V135" i="9"/>
  <c r="V133" i="9" s="1"/>
  <c r="W135" i="9"/>
  <c r="W133" i="9" s="1"/>
  <c r="X135" i="9"/>
  <c r="X133" i="9" s="1"/>
  <c r="X128" i="9" s="1"/>
  <c r="Y135" i="9"/>
  <c r="Y133" i="9" s="1"/>
  <c r="Y128" i="9" s="1"/>
  <c r="R133" i="9"/>
  <c r="C113" i="9"/>
  <c r="D113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F109" i="9"/>
  <c r="C92" i="9"/>
  <c r="D92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C90" i="9"/>
  <c r="D90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B138" i="9"/>
  <c r="R128" i="9" l="1"/>
  <c r="N83" i="9"/>
  <c r="V128" i="9"/>
  <c r="U128" i="9"/>
  <c r="T128" i="9"/>
  <c r="T83" i="9"/>
  <c r="L83" i="9"/>
  <c r="N128" i="9"/>
  <c r="M128" i="9"/>
  <c r="L128" i="9"/>
  <c r="S128" i="9"/>
  <c r="V83" i="9"/>
  <c r="X83" i="9"/>
  <c r="X143" i="9" s="1"/>
  <c r="P83" i="9"/>
  <c r="W128" i="9"/>
  <c r="O128" i="9"/>
  <c r="R83" i="9"/>
  <c r="R143" i="9" s="1"/>
  <c r="K128" i="9"/>
  <c r="J83" i="9"/>
  <c r="I128" i="9"/>
  <c r="E128" i="9"/>
  <c r="G128" i="9"/>
  <c r="F128" i="9"/>
  <c r="C128" i="9"/>
  <c r="D128" i="9"/>
  <c r="H83" i="9"/>
  <c r="F83" i="9"/>
  <c r="G109" i="9"/>
  <c r="D109" i="9"/>
  <c r="D83" i="9"/>
  <c r="C109" i="9"/>
  <c r="E109" i="9"/>
  <c r="B133" i="9"/>
  <c r="B128" i="9" s="1"/>
  <c r="B18" i="16"/>
  <c r="B18" i="2"/>
  <c r="Y83" i="9"/>
  <c r="W83" i="9"/>
  <c r="U83" i="9"/>
  <c r="U143" i="9" s="1"/>
  <c r="S83" i="9"/>
  <c r="S143" i="9" s="1"/>
  <c r="Q83" i="9"/>
  <c r="O83" i="9"/>
  <c r="M83" i="9"/>
  <c r="K83" i="9"/>
  <c r="I83" i="9"/>
  <c r="G83" i="9"/>
  <c r="E83" i="9"/>
  <c r="C83" i="9"/>
  <c r="L143" i="9" l="1"/>
  <c r="T143" i="9"/>
  <c r="E143" i="9"/>
  <c r="G143" i="9"/>
  <c r="D143" i="9"/>
  <c r="N143" i="9"/>
  <c r="Q143" i="9"/>
  <c r="I143" i="9"/>
  <c r="Y143" i="9"/>
  <c r="J143" i="9"/>
  <c r="K143" i="9"/>
  <c r="H143" i="9"/>
  <c r="C143" i="9"/>
  <c r="W143" i="9"/>
  <c r="M143" i="9"/>
  <c r="F143" i="9"/>
  <c r="P143" i="9"/>
  <c r="V143" i="9"/>
  <c r="O143" i="9"/>
  <c r="B98" i="9"/>
  <c r="B92" i="9"/>
  <c r="B90" i="9"/>
  <c r="B84" i="9" l="1"/>
  <c r="B94" i="9"/>
  <c r="B109" i="9"/>
  <c r="B113" i="9"/>
  <c r="H14" i="9"/>
  <c r="B77" i="9"/>
  <c r="B76" i="9"/>
  <c r="B73" i="9"/>
  <c r="B72" i="9"/>
  <c r="B64" i="9"/>
  <c r="B63" i="9"/>
  <c r="X14" i="9" l="1"/>
  <c r="P14" i="9"/>
  <c r="L14" i="9"/>
  <c r="T14" i="9"/>
  <c r="B70" i="9"/>
  <c r="V14" i="9"/>
  <c r="R14" i="9"/>
  <c r="G14" i="9"/>
  <c r="N14" i="9"/>
  <c r="J14" i="9"/>
  <c r="F14" i="9"/>
  <c r="Y14" i="9"/>
  <c r="W14" i="9"/>
  <c r="U14" i="9"/>
  <c r="S14" i="9"/>
  <c r="Q14" i="9"/>
  <c r="O14" i="9"/>
  <c r="M14" i="9"/>
  <c r="K14" i="9"/>
  <c r="I14" i="9"/>
  <c r="E14" i="9"/>
  <c r="D14" i="9"/>
  <c r="C14" i="9"/>
  <c r="B83" i="9"/>
  <c r="B143" i="9" l="1"/>
  <c r="B14" i="9"/>
  <c r="C9" i="9" l="1"/>
  <c r="B45" i="12" l="1"/>
  <c r="B17" i="12" l="1"/>
  <c r="B15" i="12"/>
  <c r="B46" i="26"/>
  <c r="B25" i="26"/>
  <c r="B12" i="26" s="1"/>
  <c r="B26" i="26" s="1"/>
  <c r="B47" i="26" s="1"/>
  <c r="Y20" i="14" l="1"/>
  <c r="X20" i="14"/>
  <c r="W20" i="14"/>
  <c r="V20" i="14"/>
  <c r="U20" i="14"/>
  <c r="T20" i="14"/>
  <c r="S20" i="14"/>
  <c r="R20" i="14"/>
  <c r="Q20" i="14"/>
  <c r="P20" i="14"/>
  <c r="O20" i="14"/>
  <c r="N20" i="14"/>
  <c r="M20" i="14"/>
  <c r="L20" i="14"/>
  <c r="K20" i="14"/>
  <c r="J20" i="14"/>
  <c r="I20" i="14"/>
  <c r="I33" i="14" s="1"/>
  <c r="H20" i="14"/>
  <c r="G20" i="14"/>
  <c r="G33" i="14" s="1"/>
  <c r="F20" i="14"/>
  <c r="F33" i="14" s="1"/>
  <c r="E20" i="14"/>
  <c r="D20" i="14"/>
  <c r="D33" i="14" s="1"/>
  <c r="B20" i="14"/>
  <c r="Y17" i="14"/>
  <c r="X17" i="14"/>
  <c r="W17" i="14"/>
  <c r="V17" i="14"/>
  <c r="U17" i="14"/>
  <c r="T17" i="14"/>
  <c r="S17" i="14"/>
  <c r="R17" i="14"/>
  <c r="Q17" i="14"/>
  <c r="P17" i="14"/>
  <c r="O17" i="14"/>
  <c r="N17" i="14"/>
  <c r="M17" i="14"/>
  <c r="J17" i="14"/>
  <c r="I17" i="14"/>
  <c r="H17" i="14"/>
  <c r="G17" i="14"/>
  <c r="F17" i="14"/>
  <c r="E17" i="14"/>
  <c r="D17" i="14"/>
  <c r="Y14" i="14"/>
  <c r="X14" i="14"/>
  <c r="W14" i="14"/>
  <c r="W12" i="14" s="1"/>
  <c r="W35" i="14" s="1"/>
  <c r="V14" i="14"/>
  <c r="V12" i="14" s="1"/>
  <c r="V11" i="14" s="1"/>
  <c r="V34" i="14" s="1"/>
  <c r="U14" i="14"/>
  <c r="U12" i="14" s="1"/>
  <c r="U35" i="14" s="1"/>
  <c r="T14" i="14"/>
  <c r="S14" i="14"/>
  <c r="R14" i="14"/>
  <c r="Q14" i="14"/>
  <c r="P14" i="14"/>
  <c r="O14" i="14"/>
  <c r="O12" i="14" s="1"/>
  <c r="O35" i="14" s="1"/>
  <c r="N14" i="14"/>
  <c r="N12" i="14" s="1"/>
  <c r="N11" i="14" s="1"/>
  <c r="N34" i="14" s="1"/>
  <c r="M14" i="14"/>
  <c r="M12" i="14" s="1"/>
  <c r="M35" i="14" s="1"/>
  <c r="J14" i="14"/>
  <c r="J12" i="14" s="1"/>
  <c r="I14" i="14"/>
  <c r="I12" i="14" s="1"/>
  <c r="H14" i="14"/>
  <c r="H12" i="14" s="1"/>
  <c r="H11" i="14" s="1"/>
  <c r="G14" i="14"/>
  <c r="G12" i="14" s="1"/>
  <c r="G35" i="14" s="1"/>
  <c r="F14" i="14"/>
  <c r="F12" i="14" s="1"/>
  <c r="F11" i="14" s="1"/>
  <c r="E14" i="14"/>
  <c r="E12" i="14" s="1"/>
  <c r="B14" i="14"/>
  <c r="Y12" i="14"/>
  <c r="Y35" i="14" s="1"/>
  <c r="X12" i="14"/>
  <c r="T12" i="14"/>
  <c r="S12" i="14"/>
  <c r="S35" i="14" s="1"/>
  <c r="R12" i="14"/>
  <c r="R11" i="14" s="1"/>
  <c r="Q12" i="14"/>
  <c r="Q35" i="14" s="1"/>
  <c r="P12" i="14"/>
  <c r="L12" i="14"/>
  <c r="L11" i="14" s="1"/>
  <c r="K12" i="14"/>
  <c r="D12" i="14"/>
  <c r="B12" i="14"/>
  <c r="X11" i="14"/>
  <c r="T11" i="14"/>
  <c r="P11" i="14"/>
  <c r="B11" i="14"/>
  <c r="K35" i="14" l="1"/>
  <c r="J24" i="14"/>
  <c r="J26" i="14"/>
  <c r="J33" i="14"/>
  <c r="J11" i="14"/>
  <c r="J34" i="14" s="1"/>
  <c r="I35" i="14"/>
  <c r="F34" i="14"/>
  <c r="E35" i="14"/>
  <c r="H28" i="14"/>
  <c r="L36" i="14"/>
  <c r="E11" i="14"/>
  <c r="E34" i="14" s="1"/>
  <c r="G11" i="14"/>
  <c r="G34" i="14" s="1"/>
  <c r="I11" i="14"/>
  <c r="K11" i="14"/>
  <c r="K34" i="14" s="1"/>
  <c r="M11" i="14"/>
  <c r="M34" i="14" s="1"/>
  <c r="O11" i="14"/>
  <c r="O34" i="14" s="1"/>
  <c r="Q11" i="14"/>
  <c r="S11" i="14"/>
  <c r="S34" i="14" s="1"/>
  <c r="U11" i="14"/>
  <c r="W11" i="14"/>
  <c r="W34" i="14" s="1"/>
  <c r="Y11" i="14"/>
  <c r="F35" i="14"/>
  <c r="H35" i="14"/>
  <c r="J35" i="14"/>
  <c r="L35" i="14"/>
  <c r="N35" i="14"/>
  <c r="P35" i="14"/>
  <c r="R35" i="14"/>
  <c r="T35" i="14"/>
  <c r="V35" i="14"/>
  <c r="X35" i="14"/>
  <c r="D35" i="14"/>
  <c r="D11" i="14"/>
  <c r="D34" i="14" s="1"/>
  <c r="E36" i="14"/>
  <c r="G36" i="14"/>
  <c r="I36" i="14"/>
  <c r="K36" i="14"/>
  <c r="M36" i="14"/>
  <c r="O36" i="14"/>
  <c r="Q36" i="14"/>
  <c r="S36" i="14"/>
  <c r="U36" i="14"/>
  <c r="W36" i="14"/>
  <c r="Y36" i="14"/>
  <c r="H24" i="14"/>
  <c r="H31" i="14" s="1"/>
  <c r="H26" i="14"/>
  <c r="D36" i="14"/>
  <c r="F36" i="14"/>
  <c r="H36" i="14"/>
  <c r="J36" i="14"/>
  <c r="N36" i="14"/>
  <c r="P36" i="14"/>
  <c r="R36" i="14"/>
  <c r="T36" i="14"/>
  <c r="V36" i="14"/>
  <c r="X36" i="14"/>
  <c r="D24" i="14"/>
  <c r="D31" i="14" s="1"/>
  <c r="L31" i="14"/>
  <c r="D26" i="14"/>
  <c r="D27" i="14" s="1"/>
  <c r="D28" i="14"/>
  <c r="D29" i="14" s="1"/>
  <c r="B35" i="14"/>
  <c r="B33" i="14"/>
  <c r="B36" i="14"/>
  <c r="D25" i="14"/>
  <c r="B34" i="14"/>
  <c r="L34" i="14"/>
  <c r="P34" i="14"/>
  <c r="R34" i="14"/>
  <c r="T34" i="14"/>
  <c r="X34" i="14"/>
  <c r="B24" i="14"/>
  <c r="B31" i="14" s="1"/>
  <c r="B32" i="14" s="1"/>
  <c r="F24" i="14"/>
  <c r="F31" i="14" s="1"/>
  <c r="F32" i="14" s="1"/>
  <c r="J31" i="14"/>
  <c r="J32" i="14" s="1"/>
  <c r="B26" i="14"/>
  <c r="F26" i="14"/>
  <c r="F27" i="14" s="1"/>
  <c r="B27" i="14"/>
  <c r="J27" i="14"/>
  <c r="B28" i="14"/>
  <c r="B29" i="14" s="1"/>
  <c r="F28" i="14"/>
  <c r="F29" i="14" s="1"/>
  <c r="J28" i="14"/>
  <c r="J29" i="14" s="1"/>
  <c r="H34" i="14"/>
  <c r="I34" i="14"/>
  <c r="Q34" i="14"/>
  <c r="U34" i="14"/>
  <c r="Y34" i="14"/>
  <c r="E24" i="14"/>
  <c r="E31" i="14" s="1"/>
  <c r="G24" i="14"/>
  <c r="G31" i="14" s="1"/>
  <c r="I24" i="14"/>
  <c r="I31" i="14" s="1"/>
  <c r="I32" i="14" s="1"/>
  <c r="K31" i="14"/>
  <c r="E26" i="14"/>
  <c r="E27" i="14" s="1"/>
  <c r="G26" i="14"/>
  <c r="I26" i="14"/>
  <c r="I27" i="14"/>
  <c r="E28" i="14"/>
  <c r="E29" i="14" s="1"/>
  <c r="G28" i="14"/>
  <c r="I28" i="14"/>
  <c r="I29" i="14" s="1"/>
  <c r="I25" i="14" l="1"/>
  <c r="H25" i="14"/>
  <c r="E25" i="14"/>
  <c r="E32" i="14"/>
  <c r="F25" i="14"/>
  <c r="D32" i="14"/>
  <c r="B25" i="14"/>
  <c r="Y75" i="9" l="1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D75" i="9"/>
  <c r="C75" i="9"/>
  <c r="Y62" i="9"/>
  <c r="Y79" i="9" s="1"/>
  <c r="X62" i="9"/>
  <c r="X79" i="9" s="1"/>
  <c r="W62" i="9"/>
  <c r="W79" i="9" s="1"/>
  <c r="V62" i="9"/>
  <c r="V79" i="9" s="1"/>
  <c r="U62" i="9"/>
  <c r="T62" i="9"/>
  <c r="S62" i="9"/>
  <c r="R62" i="9"/>
  <c r="Q62" i="9"/>
  <c r="Q79" i="9" s="1"/>
  <c r="P62" i="9"/>
  <c r="P79" i="9" s="1"/>
  <c r="O62" i="9"/>
  <c r="O79" i="9" s="1"/>
  <c r="N62" i="9"/>
  <c r="N79" i="9" s="1"/>
  <c r="M62" i="9"/>
  <c r="L62" i="9"/>
  <c r="K62" i="9"/>
  <c r="J62" i="9"/>
  <c r="I62" i="9"/>
  <c r="I79" i="9" s="1"/>
  <c r="H62" i="9"/>
  <c r="H79" i="9" s="1"/>
  <c r="G62" i="9"/>
  <c r="G79" i="9" s="1"/>
  <c r="F62" i="9"/>
  <c r="E62" i="9"/>
  <c r="D62" i="9"/>
  <c r="C62" i="9"/>
  <c r="B62" i="9"/>
  <c r="B75" i="9"/>
  <c r="E79" i="9" l="1"/>
  <c r="T79" i="9"/>
  <c r="S79" i="9"/>
  <c r="M79" i="9"/>
  <c r="U79" i="9"/>
  <c r="U144" i="9" s="1"/>
  <c r="L79" i="9"/>
  <c r="L144" i="9" s="1"/>
  <c r="K79" i="9"/>
  <c r="D79" i="9"/>
  <c r="D144" i="9" s="1"/>
  <c r="F79" i="9"/>
  <c r="F144" i="9" s="1"/>
  <c r="B79" i="9"/>
  <c r="J79" i="9"/>
  <c r="J144" i="9" s="1"/>
  <c r="R79" i="9"/>
  <c r="R144" i="9" s="1"/>
  <c r="C79" i="9"/>
  <c r="Q144" i="9"/>
  <c r="N144" i="9"/>
  <c r="I144" i="9"/>
  <c r="T144" i="9"/>
  <c r="V144" i="9"/>
  <c r="P144" i="9"/>
  <c r="S144" i="9"/>
  <c r="B144" i="9" l="1"/>
  <c r="X144" i="9"/>
  <c r="K144" i="9"/>
  <c r="M144" i="9"/>
  <c r="Y144" i="9"/>
  <c r="G144" i="9"/>
  <c r="H144" i="9"/>
  <c r="W144" i="9"/>
  <c r="O144" i="9"/>
  <c r="E144" i="9"/>
  <c r="C144" i="9"/>
  <c r="B10" i="2" l="1"/>
  <c r="B22" i="2" s="1"/>
  <c r="B26" i="2" s="1"/>
  <c r="C10" i="2"/>
  <c r="C22" i="2" s="1"/>
  <c r="C26" i="2" s="1"/>
  <c r="D10" i="2"/>
  <c r="D22" i="2" s="1"/>
  <c r="D26" i="2" s="1"/>
  <c r="E10" i="2"/>
  <c r="E22" i="2" s="1"/>
  <c r="E26" i="2" s="1"/>
  <c r="F10" i="2"/>
  <c r="F22" i="2" s="1"/>
  <c r="F26" i="2" s="1"/>
  <c r="G10" i="2"/>
  <c r="G22" i="2" s="1"/>
  <c r="G26" i="2" s="1"/>
  <c r="H10" i="2"/>
  <c r="I10" i="2"/>
  <c r="I22" i="2" s="1"/>
  <c r="I26" i="2" s="1"/>
  <c r="J10" i="2"/>
  <c r="K10" i="2"/>
  <c r="K22" i="2" s="1"/>
  <c r="K26" i="2" s="1"/>
  <c r="L10" i="2"/>
  <c r="L22" i="2" s="1"/>
  <c r="L26" i="2" s="1"/>
  <c r="M10" i="2"/>
  <c r="M22" i="2" s="1"/>
  <c r="M26" i="2" s="1"/>
  <c r="N10" i="2"/>
  <c r="N22" i="2" s="1"/>
  <c r="N26" i="2" s="1"/>
  <c r="O10" i="2"/>
  <c r="O22" i="2" s="1"/>
  <c r="O26" i="2" s="1"/>
  <c r="P10" i="2"/>
  <c r="P22" i="2" s="1"/>
  <c r="P26" i="2" s="1"/>
  <c r="Q10" i="2"/>
  <c r="Q22" i="2" s="1"/>
  <c r="Q26" i="2" s="1"/>
  <c r="R10" i="2"/>
  <c r="R22" i="2" s="1"/>
  <c r="R26" i="2" s="1"/>
  <c r="S10" i="2"/>
  <c r="S22" i="2" s="1"/>
  <c r="S26" i="2" s="1"/>
  <c r="T10" i="2"/>
  <c r="T22" i="2" s="1"/>
  <c r="T26" i="2" s="1"/>
  <c r="U10" i="2"/>
  <c r="U22" i="2" s="1"/>
  <c r="U26" i="2" s="1"/>
  <c r="V10" i="2"/>
  <c r="V22" i="2" s="1"/>
  <c r="V26" i="2" s="1"/>
  <c r="W10" i="2"/>
  <c r="W22" i="2" s="1"/>
  <c r="W26" i="2" s="1"/>
  <c r="X10" i="2"/>
  <c r="X22" i="2" s="1"/>
  <c r="X26" i="2" s="1"/>
  <c r="Y10" i="2"/>
  <c r="Y22" i="2" s="1"/>
  <c r="Y26" i="2" s="1"/>
  <c r="B29" i="2"/>
  <c r="C29" i="2"/>
  <c r="D29" i="2"/>
  <c r="E29" i="2"/>
  <c r="F29" i="2"/>
  <c r="G29" i="2"/>
  <c r="H29" i="2"/>
  <c r="I29" i="2"/>
  <c r="J29" i="2"/>
  <c r="K29" i="2"/>
  <c r="K28" i="2" s="1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B41" i="2"/>
  <c r="C41" i="2"/>
  <c r="D41" i="2"/>
  <c r="E41" i="2"/>
  <c r="F41" i="2"/>
  <c r="G41" i="2"/>
  <c r="H41" i="2"/>
  <c r="I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J22" i="2" l="1"/>
  <c r="J26" i="2" s="1"/>
  <c r="H22" i="2"/>
  <c r="H26" i="2" s="1"/>
  <c r="X39" i="2"/>
  <c r="X45" i="2" s="1"/>
  <c r="X58" i="2" s="1"/>
  <c r="T39" i="2"/>
  <c r="T45" i="2" s="1"/>
  <c r="T58" i="2" s="1"/>
  <c r="P39" i="2"/>
  <c r="P45" i="2" s="1"/>
  <c r="P58" i="2" s="1"/>
  <c r="J39" i="2" l="1"/>
  <c r="J45" i="2" s="1"/>
  <c r="J58" i="2" s="1"/>
  <c r="H39" i="2"/>
  <c r="H45" i="2" s="1"/>
  <c r="H58" i="2" s="1"/>
  <c r="C39" i="2"/>
  <c r="C45" i="2" s="1"/>
  <c r="C58" i="2" s="1"/>
  <c r="S39" i="2"/>
  <c r="S45" i="2" s="1"/>
  <c r="S58" i="2" s="1"/>
  <c r="D39" i="2"/>
  <c r="D45" i="2" s="1"/>
  <c r="D58" i="2" s="1"/>
  <c r="L39" i="2"/>
  <c r="L45" i="2" s="1"/>
  <c r="L58" i="2" s="1"/>
  <c r="G39" i="2"/>
  <c r="G45" i="2" s="1"/>
  <c r="G58" i="2" s="1"/>
  <c r="W39" i="2"/>
  <c r="W45" i="2" s="1"/>
  <c r="W58" i="2" s="1"/>
  <c r="F39" i="2"/>
  <c r="F45" i="2" s="1"/>
  <c r="F58" i="2" s="1"/>
  <c r="K39" i="2"/>
  <c r="K45" i="2" s="1"/>
  <c r="K58" i="2" s="1"/>
  <c r="O39" i="2"/>
  <c r="O45" i="2" s="1"/>
  <c r="O58" i="2" s="1"/>
  <c r="I39" i="2"/>
  <c r="I45" i="2" s="1"/>
  <c r="I58" i="2" s="1"/>
  <c r="Q39" i="2"/>
  <c r="Q45" i="2" s="1"/>
  <c r="Q58" i="2" s="1"/>
  <c r="Y39" i="2"/>
  <c r="Y45" i="2" s="1"/>
  <c r="Y58" i="2" s="1"/>
  <c r="E39" i="2"/>
  <c r="E45" i="2" s="1"/>
  <c r="E58" i="2" s="1"/>
  <c r="U39" i="2"/>
  <c r="U45" i="2" s="1"/>
  <c r="U58" i="2" s="1"/>
  <c r="N39" i="2"/>
  <c r="N45" i="2" s="1"/>
  <c r="N58" i="2" s="1"/>
  <c r="M39" i="2"/>
  <c r="M45" i="2" s="1"/>
  <c r="M58" i="2" s="1"/>
  <c r="V39" i="2"/>
  <c r="V45" i="2" s="1"/>
  <c r="V58" i="2" s="1"/>
  <c r="R39" i="2"/>
  <c r="R45" i="2" s="1"/>
  <c r="R58" i="2" s="1"/>
  <c r="B39" i="2"/>
  <c r="B45" i="2" s="1"/>
  <c r="B58" i="2" s="1"/>
  <c r="B52" i="16" l="1"/>
  <c r="C52" i="16"/>
  <c r="D52" i="16"/>
  <c r="E52" i="16"/>
  <c r="F52" i="16"/>
  <c r="G52" i="16"/>
  <c r="B47" i="16"/>
  <c r="C47" i="16"/>
  <c r="D47" i="16"/>
  <c r="E47" i="16"/>
  <c r="F47" i="16"/>
  <c r="G47" i="16"/>
  <c r="B10" i="16"/>
  <c r="B22" i="16" s="1"/>
  <c r="B26" i="16" s="1"/>
  <c r="C10" i="16"/>
  <c r="D10" i="16"/>
  <c r="D26" i="16" s="1"/>
  <c r="E10" i="16"/>
  <c r="E22" i="16" s="1"/>
  <c r="E26" i="16" s="1"/>
  <c r="F10" i="16"/>
  <c r="F22" i="16" s="1"/>
  <c r="F26" i="16" s="1"/>
  <c r="G10" i="16"/>
  <c r="G22" i="16" s="1"/>
  <c r="G26" i="16" s="1"/>
  <c r="B41" i="16"/>
  <c r="C41" i="16"/>
  <c r="D41" i="16"/>
  <c r="E41" i="16"/>
  <c r="F41" i="16"/>
  <c r="G41" i="16"/>
  <c r="B29" i="16"/>
  <c r="B28" i="16" s="1"/>
  <c r="C29" i="16"/>
  <c r="C28" i="16" s="1"/>
  <c r="D29" i="16"/>
  <c r="D28" i="16" s="1"/>
  <c r="E29" i="16"/>
  <c r="F29" i="16"/>
  <c r="G29" i="16"/>
  <c r="C22" i="16" l="1"/>
  <c r="C26" i="16" s="1"/>
  <c r="F39" i="16"/>
  <c r="D9" i="9"/>
  <c r="E9" i="9" s="1"/>
  <c r="F9" i="9" s="1"/>
  <c r="G9" i="9" s="1"/>
  <c r="H9" i="9" s="1"/>
  <c r="I9" i="9" s="1"/>
  <c r="J9" i="9" s="1"/>
  <c r="K9" i="9" s="1"/>
  <c r="L9" i="9" s="1"/>
  <c r="M9" i="9" s="1"/>
  <c r="N9" i="9" s="1"/>
  <c r="O9" i="9" s="1"/>
  <c r="P9" i="9" s="1"/>
  <c r="Q9" i="9" s="1"/>
  <c r="R9" i="9" s="1"/>
  <c r="S9" i="9" s="1"/>
  <c r="T9" i="9" s="1"/>
  <c r="U9" i="9" s="1"/>
  <c r="V9" i="9" s="1"/>
  <c r="W9" i="9" s="1"/>
  <c r="X9" i="9" s="1"/>
  <c r="Y9" i="9" s="1"/>
  <c r="C9" i="12"/>
  <c r="D9" i="12" s="1"/>
  <c r="E9" i="12" s="1"/>
  <c r="F9" i="12" s="1"/>
  <c r="G9" i="12" s="1"/>
  <c r="H9" i="12" s="1"/>
  <c r="I9" i="12" s="1"/>
  <c r="J9" i="12" s="1"/>
  <c r="K9" i="12" s="1"/>
  <c r="L9" i="12" s="1"/>
  <c r="M9" i="12" s="1"/>
  <c r="N9" i="12" s="1"/>
  <c r="O9" i="12" s="1"/>
  <c r="P9" i="12" s="1"/>
  <c r="Q9" i="12" s="1"/>
  <c r="R9" i="12" s="1"/>
  <c r="S9" i="12" s="1"/>
  <c r="T9" i="12" s="1"/>
  <c r="U9" i="12" s="1"/>
  <c r="V9" i="12" s="1"/>
  <c r="W9" i="12" s="1"/>
  <c r="X9" i="12" s="1"/>
  <c r="Y9" i="12" s="1"/>
  <c r="C9" i="14"/>
  <c r="D9" i="14" s="1"/>
  <c r="E9" i="14" s="1"/>
  <c r="F9" i="14" s="1"/>
  <c r="G9" i="14" s="1"/>
  <c r="H9" i="14" s="1"/>
  <c r="I9" i="14" s="1"/>
  <c r="J9" i="14" s="1"/>
  <c r="K9" i="14" s="1"/>
  <c r="L9" i="14" s="1"/>
  <c r="M9" i="14" s="1"/>
  <c r="N9" i="14" s="1"/>
  <c r="O9" i="14" s="1"/>
  <c r="P9" i="14" s="1"/>
  <c r="Q9" i="14" s="1"/>
  <c r="R9" i="14" s="1"/>
  <c r="S9" i="14" s="1"/>
  <c r="T9" i="14" s="1"/>
  <c r="U9" i="14" s="1"/>
  <c r="V9" i="14" s="1"/>
  <c r="W9" i="14" s="1"/>
  <c r="X9" i="14" s="1"/>
  <c r="Y9" i="14" s="1"/>
  <c r="C9" i="15"/>
  <c r="D9" i="15" s="1"/>
  <c r="C9" i="26"/>
  <c r="D9" i="26" s="1"/>
  <c r="E9" i="26" s="1"/>
  <c r="F9" i="26" s="1"/>
  <c r="G9" i="26" s="1"/>
  <c r="H9" i="26" s="1"/>
  <c r="I9" i="26" s="1"/>
  <c r="J9" i="26" s="1"/>
  <c r="K9" i="26" s="1"/>
  <c r="L9" i="26" s="1"/>
  <c r="M9" i="26" s="1"/>
  <c r="N9" i="26" s="1"/>
  <c r="O9" i="26" s="1"/>
  <c r="P9" i="26" s="1"/>
  <c r="Q9" i="26" s="1"/>
  <c r="R9" i="26" s="1"/>
  <c r="S9" i="26" s="1"/>
  <c r="T9" i="26" s="1"/>
  <c r="U9" i="26" s="1"/>
  <c r="V9" i="26" s="1"/>
  <c r="W9" i="26" s="1"/>
  <c r="X9" i="26" s="1"/>
  <c r="Y9" i="26" s="1"/>
  <c r="E9" i="15" l="1"/>
  <c r="F9" i="15" s="1"/>
  <c r="G9" i="15" s="1"/>
  <c r="H9" i="15" s="1"/>
  <c r="I9" i="15" s="1"/>
  <c r="J9" i="15" s="1"/>
  <c r="K9" i="15" s="1"/>
  <c r="L9" i="15" s="1"/>
  <c r="M9" i="15" s="1"/>
  <c r="N9" i="15" s="1"/>
  <c r="O9" i="15" s="1"/>
  <c r="P9" i="15" s="1"/>
  <c r="Q9" i="15" s="1"/>
  <c r="R9" i="15" s="1"/>
  <c r="S9" i="15" s="1"/>
  <c r="T9" i="15" s="1"/>
  <c r="U9" i="15" s="1"/>
  <c r="V9" i="15" s="1"/>
  <c r="W9" i="15" s="1"/>
  <c r="X9" i="15" s="1"/>
  <c r="Y9" i="15" s="1"/>
  <c r="B39" i="16"/>
  <c r="B45" i="16" s="1"/>
  <c r="B58" i="16" s="1"/>
  <c r="E60" i="2" s="1"/>
  <c r="D39" i="16"/>
  <c r="D45" i="16" s="1"/>
  <c r="D58" i="16" s="1"/>
  <c r="L60" i="2" s="1"/>
  <c r="F45" i="16"/>
  <c r="F58" i="16" s="1"/>
  <c r="C39" i="16"/>
  <c r="G39" i="16"/>
  <c r="E39" i="16"/>
  <c r="B59" i="10"/>
  <c r="C59" i="10"/>
  <c r="D59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AT59" i="10"/>
  <c r="C45" i="16" l="1"/>
  <c r="C58" i="16" s="1"/>
  <c r="I60" i="2" s="1"/>
  <c r="E45" i="16"/>
  <c r="E58" i="16" s="1"/>
  <c r="G45" i="16"/>
  <c r="G58" i="16" s="1"/>
  <c r="AS47" i="10"/>
  <c r="L68" i="17" l="1"/>
  <c r="L56" i="17"/>
  <c r="AT47" i="10"/>
  <c r="AR47" i="10" l="1"/>
  <c r="AL18" i="10" l="1"/>
  <c r="AO18" i="10"/>
  <c r="AP18" i="10"/>
</calcChain>
</file>

<file path=xl/comments1.xml><?xml version="1.0" encoding="utf-8"?>
<comments xmlns="http://schemas.openxmlformats.org/spreadsheetml/2006/main">
  <authors>
    <author>WELLINGTON DUTRA MOREIRA</author>
  </authors>
  <commentList>
    <comment ref="A30" authorId="0" shapeId="0">
      <text>
        <r>
          <rPr>
            <b/>
            <sz val="9"/>
            <color indexed="81"/>
            <rFont val="Segoe UI"/>
            <family val="2"/>
          </rPr>
          <t>WELLINGTON DUTRA MOREIRA:</t>
        </r>
        <r>
          <rPr>
            <sz val="9"/>
            <color indexed="81"/>
            <rFont val="Segoe UI"/>
            <family val="2"/>
          </rPr>
          <t xml:space="preserve">
refere-se aos certificate of deposit informado na linha 28</t>
        </r>
      </text>
    </comment>
  </commentList>
</comments>
</file>

<file path=xl/sharedStrings.xml><?xml version="1.0" encoding="utf-8"?>
<sst xmlns="http://schemas.openxmlformats.org/spreadsheetml/2006/main" count="782" uniqueCount="404">
  <si>
    <t>1.</t>
  </si>
  <si>
    <t>2.</t>
  </si>
  <si>
    <t>3.</t>
  </si>
  <si>
    <t>4.</t>
  </si>
  <si>
    <t>Balanço Patrimonial</t>
  </si>
  <si>
    <t>DRE Gerencial</t>
  </si>
  <si>
    <t>Captação</t>
  </si>
  <si>
    <t>5.</t>
  </si>
  <si>
    <t>6.</t>
  </si>
  <si>
    <t>7.</t>
  </si>
  <si>
    <t>Data da última atualização:</t>
  </si>
  <si>
    <t>Clique no título para acessar a respectiva planilha:</t>
  </si>
  <si>
    <t>Banco ABC Brasil S.A.</t>
  </si>
  <si>
    <t>Planilha de Séries Históricas</t>
  </si>
  <si>
    <t>Em caso de dúvidas, contate:</t>
  </si>
  <si>
    <t>Índice</t>
  </si>
  <si>
    <t>-</t>
  </si>
  <si>
    <t>Depósitos</t>
  </si>
  <si>
    <t>(R$ mil)</t>
  </si>
  <si>
    <t>1T08</t>
  </si>
  <si>
    <t>2T08</t>
  </si>
  <si>
    <t>3T08</t>
  </si>
  <si>
    <t>4T08</t>
  </si>
  <si>
    <t>2008</t>
  </si>
  <si>
    <t>1T09</t>
  </si>
  <si>
    <t>2T09</t>
  </si>
  <si>
    <t>3T09</t>
  </si>
  <si>
    <t>4T09</t>
  </si>
  <si>
    <t>2009</t>
  </si>
  <si>
    <t>1T10</t>
  </si>
  <si>
    <t>2T10</t>
  </si>
  <si>
    <t>3T10</t>
  </si>
  <si>
    <t>4T10</t>
  </si>
  <si>
    <t>2010</t>
  </si>
  <si>
    <t>1T11</t>
  </si>
  <si>
    <t>2T11</t>
  </si>
  <si>
    <t>3T11</t>
  </si>
  <si>
    <t>4T11</t>
  </si>
  <si>
    <t>1T12</t>
  </si>
  <si>
    <t>2T12</t>
  </si>
  <si>
    <t>3T12</t>
  </si>
  <si>
    <t>4T12</t>
  </si>
  <si>
    <t>1T13</t>
  </si>
  <si>
    <t>2T13</t>
  </si>
  <si>
    <t>3T13</t>
  </si>
  <si>
    <t>4T13</t>
  </si>
  <si>
    <t>1T14</t>
  </si>
  <si>
    <t>2T14</t>
  </si>
  <si>
    <t>3T14</t>
  </si>
  <si>
    <t>4T14</t>
  </si>
  <si>
    <t>1T15</t>
  </si>
  <si>
    <t>2T15</t>
  </si>
  <si>
    <t>3T15</t>
  </si>
  <si>
    <t>4T15</t>
  </si>
  <si>
    <t>1T16</t>
  </si>
  <si>
    <t>2T16</t>
  </si>
  <si>
    <t>3T16</t>
  </si>
  <si>
    <t>4T16</t>
  </si>
  <si>
    <t>1T17</t>
  </si>
  <si>
    <t>Margem Financeira Publicada antes da PDD</t>
  </si>
  <si>
    <t>Efeito do hedge de investimentos no exterior</t>
  </si>
  <si>
    <t>Efeito fiscal do hedge de investimentos no exterior + outros</t>
  </si>
  <si>
    <t>Margem Financeira Gerencial antes PDD</t>
  </si>
  <si>
    <t>Margem Financeira com Clientes</t>
  </si>
  <si>
    <t>Margem Financeira com Mercado</t>
  </si>
  <si>
    <t>Provisão para Devedores Duvidosos (PDD)</t>
  </si>
  <si>
    <t>Margem Gerencial após PDD</t>
  </si>
  <si>
    <t>Receitas de Prestação de Serviços</t>
  </si>
  <si>
    <t>Despesas</t>
  </si>
  <si>
    <t>   Despesas de Pessoal &amp; Outras Administrativas (publicada)</t>
  </si>
  <si>
    <t>   Cessão do consignado</t>
  </si>
  <si>
    <t>   Efeito de Contribuições Incentivadas</t>
  </si>
  <si>
    <t>Despesas Tributárias</t>
  </si>
  <si>
    <t>Outras Receitas (Despesas) Operacionais Ajustada</t>
  </si>
  <si>
    <t>   Outras Receitas (Despesas) Operacionais Publicada</t>
  </si>
  <si>
    <t>   Efeito do hedge de investimentos no exterior</t>
  </si>
  <si>
    <t>   Efeito Anistia/Cetip</t>
  </si>
  <si>
    <t>Resultado não Operacional Gerencial</t>
  </si>
  <si>
    <t>Res. antes da Tributação sobre o Lucro e Participações</t>
  </si>
  <si>
    <t>Imposto de Renda e Contribuição Social Ajustado</t>
  </si>
  <si>
    <t>   Imposto de Renda e Contribuição Social Publicado</t>
  </si>
  <si>
    <t>   Efeito fiscal do hedge de investimentos no exterior + outros</t>
  </si>
  <si>
    <t>   Efeito Fiscal da Anistia/Cetip</t>
  </si>
  <si>
    <t>Participação nos Lucros</t>
  </si>
  <si>
    <t>Efeitos líquidos de Imposto de Renda</t>
  </si>
  <si>
    <t>Venda de participação na CETIP</t>
  </si>
  <si>
    <t>Adesão à anistia fiscal</t>
  </si>
  <si>
    <t>Eventos não recorrentes</t>
  </si>
  <si>
    <t>Garantias Prestadas</t>
  </si>
  <si>
    <t>Fees Mercado de Capitais e M&amp;A</t>
  </si>
  <si>
    <t>Tarifas</t>
  </si>
  <si>
    <t>Pessoal</t>
  </si>
  <si>
    <t>Outras Despesas Administrativas</t>
  </si>
  <si>
    <t>Total</t>
  </si>
  <si>
    <t>Margem Financeira Gerencial antes da PDD</t>
  </si>
  <si>
    <t>Margem Financeira Gerencial após PDD</t>
  </si>
  <si>
    <t>Despesas Pessoal &amp; Outras Administrativas</t>
  </si>
  <si>
    <t>Despesas Tributárias &amp; Outras Operacionais</t>
  </si>
  <si>
    <t>Resultado Operacional</t>
  </si>
  <si>
    <t>DEMONSTRAÇÃO DO RESULTADO GERENCIAL</t>
  </si>
  <si>
    <t>CAPTAÇÃO</t>
  </si>
  <si>
    <t>(R$ milhões)</t>
  </si>
  <si>
    <t xml:space="preserve">Receitas de Prestação de Serviços </t>
  </si>
  <si>
    <t xml:space="preserve">Despesas </t>
  </si>
  <si>
    <t xml:space="preserve">Resultado Operacional Gerencial </t>
  </si>
  <si>
    <t>ADEQUAÇÃO DE CAPITAL</t>
  </si>
  <si>
    <t>-4.4</t>
  </si>
  <si>
    <t>2T17</t>
  </si>
  <si>
    <t>Dividendos e JCP</t>
  </si>
  <si>
    <t>DIVIDENDOS E JCP</t>
  </si>
  <si>
    <t>3T17</t>
  </si>
  <si>
    <t>4T17</t>
  </si>
  <si>
    <t>Lucro Líquido Recorrente</t>
  </si>
  <si>
    <t>Lucro Líquido Contábil</t>
  </si>
  <si>
    <t>1T18</t>
  </si>
  <si>
    <t xml:space="preserve">A partir do primeiro trimestre de 2018, foram feitas as seguintes reclassificações: (i) a porção das despesas de INSS referente à remuneração variável passou da linha “Despesa de Pessoal” para “Participação nos Lucros (PLR)”, onde a remuneração variável é contabilizada; e (ii) a porção das despesas que geram incentivos fiscais (Lei Rouanet, Lei do Incentivo ao Esporte e FUMCAD) passou da linha “Despesas Administrativas” para “Imposto de Renda e Contribuição Social”. Essa alteração foi aplicada para os dados desde o 1T16.
</t>
  </si>
  <si>
    <t>2T18</t>
  </si>
  <si>
    <t>3T18</t>
  </si>
  <si>
    <t>4T18</t>
  </si>
  <si>
    <t>1T19</t>
  </si>
  <si>
    <t>Gerenciamento de Capital</t>
  </si>
  <si>
    <t>Banco Mercantil do Brasil S.A.</t>
  </si>
  <si>
    <t xml:space="preserve"> </t>
  </si>
  <si>
    <t>ATIVO</t>
  </si>
  <si>
    <t/>
  </si>
  <si>
    <t>PASSIVO E PATRIMÔNIO LÍQUIDO</t>
  </si>
  <si>
    <t>Captações (Depósitos, Cessões de Crédito, Cap. Externas, LCA, LF, LFS, Mercado Aberto)</t>
  </si>
  <si>
    <t>- Depósito à Vista</t>
  </si>
  <si>
    <t>- Poupança</t>
  </si>
  <si>
    <t>- Depósito a prazo</t>
  </si>
  <si>
    <t>- CDB</t>
  </si>
  <si>
    <t>- DPGE I e II</t>
  </si>
  <si>
    <t>- CDB Subordinado</t>
  </si>
  <si>
    <t>- Depósito Interfinanceiro</t>
  </si>
  <si>
    <t>Cessões de Crédito</t>
  </si>
  <si>
    <t>- Cessão c/ coobrigação antes da 3.533</t>
  </si>
  <si>
    <t>- Cessão c/ coobrigação após à 3.533</t>
  </si>
  <si>
    <t>- FIDC após à 3.533</t>
  </si>
  <si>
    <t>- FIDC antes da 3.533</t>
  </si>
  <si>
    <t>Captação Externa</t>
  </si>
  <si>
    <t>- Dívida Subordinada</t>
  </si>
  <si>
    <t>- TVME</t>
  </si>
  <si>
    <t>LCA</t>
  </si>
  <si>
    <t>LF</t>
  </si>
  <si>
    <t>LFS</t>
  </si>
  <si>
    <t>LCI</t>
  </si>
  <si>
    <t>Captação no Mercado Aberto</t>
  </si>
  <si>
    <t xml:space="preserve">a) Patrimônio de Referência - PR (a = b + c) </t>
  </si>
  <si>
    <t>b) Patrimônio de Referência Nível I</t>
  </si>
  <si>
    <t xml:space="preserve">b.1) Capital Principal – CP </t>
  </si>
  <si>
    <t>b.2) Capital Complementar - CC</t>
  </si>
  <si>
    <t>- LFs Subordinadas</t>
  </si>
  <si>
    <t>- Ajuste Participações de não controladores Nível I</t>
  </si>
  <si>
    <t xml:space="preserve">c) Patrimônio de Referência Nível II </t>
  </si>
  <si>
    <t>c.1) Dívidas Subordinadas/LFs Subordinadas</t>
  </si>
  <si>
    <t>c.2) Ajuste Participações de não controladores do Nível II</t>
  </si>
  <si>
    <t xml:space="preserve">d) Ativos Ponderados por Risco (RWA) </t>
  </si>
  <si>
    <t>f) Margem Sobre o Patrimônio de Referência Requerido (f = a - e)</t>
  </si>
  <si>
    <t>g) Patrimônio de Referência Nível I Mínimo Requerido para o RWA (g = d x 6,0% desde janeiro de 2015)</t>
  </si>
  <si>
    <t>h) Margem sobre o Patrimônio de Referência Nível I Requerido (h = b - g)</t>
  </si>
  <si>
    <t>i) Capital Principal Mínimo Requerido para o Rwa (i = d x 4,5%)</t>
  </si>
  <si>
    <t>j) Margem sobre o Capital Principal Requerido (j = b.1 - i)</t>
  </si>
  <si>
    <t>p) Capital de Nível I (p = b/d x 100)</t>
  </si>
  <si>
    <t>Total Geral</t>
  </si>
  <si>
    <t>DRE Contábil (Anual)</t>
  </si>
  <si>
    <t>Banco Mercantil do Brasil SA</t>
  </si>
  <si>
    <t xml:space="preserve">TOTAL DO ATIVO </t>
  </si>
  <si>
    <t xml:space="preserve">TOTAL DO PASSIVO E PATRIMÔNIO LÍQUIDO </t>
  </si>
  <si>
    <t>Cartão de Crédito</t>
  </si>
  <si>
    <t>Crédito Pessoal</t>
  </si>
  <si>
    <t>Pessoa Física</t>
  </si>
  <si>
    <t>Pessoa Jurídica</t>
  </si>
  <si>
    <t>CONSTRUCAO CIVIL</t>
  </si>
  <si>
    <t>TRANSPORTE DE PASSAGEIROS, EXCETO AVIACAO CIVIL</t>
  </si>
  <si>
    <t>BIOCOMBUSTIVEIS E ACUCAR</t>
  </si>
  <si>
    <t>PRESTACAO DE SERVICOS</t>
  </si>
  <si>
    <t>ATIVIDADES FINANCEIRAS, DE SEGUROS E SERVICOS RELACIONADO</t>
  </si>
  <si>
    <t>SIDERURGIA</t>
  </si>
  <si>
    <t>MATERIAIS DE CONSTRUCAO</t>
  </si>
  <si>
    <t>TRANSPORTE DE CARGAS E LOGISTICA</t>
  </si>
  <si>
    <t>ALIMENTOS</t>
  </si>
  <si>
    <t>OUTROS</t>
  </si>
  <si>
    <t>Crédito Consignado INSS</t>
  </si>
  <si>
    <t>CP INSS Débito em Conta</t>
  </si>
  <si>
    <t>Capital de Giro</t>
  </si>
  <si>
    <t xml:space="preserve">Renegociação </t>
  </si>
  <si>
    <t xml:space="preserve">Crédito Rural          </t>
  </si>
  <si>
    <t>Crédito Consignado Público</t>
  </si>
  <si>
    <t>Cartão de Crédito Consignado</t>
  </si>
  <si>
    <t xml:space="preserve">Crédito Imobiliário    </t>
  </si>
  <si>
    <t>Câmbio</t>
  </si>
  <si>
    <t xml:space="preserve">Cheque Especial </t>
  </si>
  <si>
    <t xml:space="preserve">Conta Garantida </t>
  </si>
  <si>
    <t xml:space="preserve">Cheque Empresa </t>
  </si>
  <si>
    <t>Financiamento Veículos - CDC</t>
  </si>
  <si>
    <t>Outros</t>
  </si>
  <si>
    <t>Produtos - Consolidado</t>
  </si>
  <si>
    <t>Maior Depositante</t>
  </si>
  <si>
    <t>10 Maiores Depositantes</t>
  </si>
  <si>
    <t>20 Maiores Depositantes</t>
  </si>
  <si>
    <t>50 Maiores Depositantes</t>
  </si>
  <si>
    <t>100 Maiores Depositantes</t>
  </si>
  <si>
    <t>Total Depósito a Prazo</t>
  </si>
  <si>
    <t>Concentração de Maiores Depositantes</t>
  </si>
  <si>
    <t xml:space="preserve">RESULTADO BRUTO DA INTERMEDIAÇÃO FINANCEIRA </t>
  </si>
  <si>
    <t xml:space="preserve">RECEITAS DA INTERMEDIAÇÃO FINANCEIRA </t>
  </si>
  <si>
    <t xml:space="preserve">DESPESAS DA INTERMEDIAÇÃO FINANCEIRA </t>
  </si>
  <si>
    <t xml:space="preserve">OUTRAS RECEITAS / (DESPESAS) OPERACIONAIS </t>
  </si>
  <si>
    <t xml:space="preserve">RESULTADO OPERACIONAL </t>
  </si>
  <si>
    <t>RESULTADO ANTES DA TRIBUTAÇÃO SOBRE O LUCRO E PARTICIPAÇÕES</t>
  </si>
  <si>
    <t xml:space="preserve">PARTICIPAÇÕES ESTATUTÁRIAS NO LUCRO </t>
  </si>
  <si>
    <t>(R$ Mil)</t>
  </si>
  <si>
    <t>(R$ Milhões)</t>
  </si>
  <si>
    <t>TOTAL</t>
  </si>
  <si>
    <t>1T20</t>
  </si>
  <si>
    <t>2T20</t>
  </si>
  <si>
    <t>3T20</t>
  </si>
  <si>
    <t>4T20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</si>
  <si>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</si>
  <si>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</si>
  <si>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</si>
  <si>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</si>
  <si>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</si>
  <si>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</si>
  <si>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</si>
  <si>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</si>
  <si>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</si>
  <si>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</si>
  <si>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</si>
  <si>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</si>
  <si>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</si>
  <si>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</si>
  <si>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</si>
  <si>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4T24</t>
  </si>
  <si>
    <t>1T25</t>
  </si>
  <si>
    <t>2T25</t>
  </si>
  <si>
    <t>3T25</t>
  </si>
  <si>
    <t>4T25</t>
  </si>
  <si>
    <t xml:space="preserve">IMPOSTO DE RENDA E CONTRIBUIÇÃO SOCIAL </t>
  </si>
  <si>
    <t>RESULTADO NÃO OPERACIONAL</t>
  </si>
  <si>
    <t xml:space="preserve">Adequação de Capital </t>
  </si>
  <si>
    <t xml:space="preserve"> Operações de Crédito </t>
  </si>
  <si>
    <t xml:space="preserve"> Resultado de Operações com Títulos e Valores  Mobiliários </t>
  </si>
  <si>
    <t xml:space="preserve"> Resultado com Instrumentos Financeiros Derivativos</t>
  </si>
  <si>
    <t xml:space="preserve"> Resultado de Operações de Câmbio </t>
  </si>
  <si>
    <t xml:space="preserve"> Resultado das Aplicações Compulsórias </t>
  </si>
  <si>
    <t xml:space="preserve"> Operações de Captação no Mercado</t>
  </si>
  <si>
    <t xml:space="preserve"> Operações de Venda ou de Transferência de Ativos Financeiros</t>
  </si>
  <si>
    <t xml:space="preserve"> Receitas de Prestação de Serviços</t>
  </si>
  <si>
    <t xml:space="preserve">   Receitas de Prestações de Serviços - Diversas </t>
  </si>
  <si>
    <t xml:space="preserve">   Rendas de Tarifas Bancárias </t>
  </si>
  <si>
    <t xml:space="preserve"> Despesas de Pessoal</t>
  </si>
  <si>
    <t xml:space="preserve"> Outras Despesas Administrativas</t>
  </si>
  <si>
    <t xml:space="preserve"> Despesas Tributárias</t>
  </si>
  <si>
    <t xml:space="preserve"> Outras Despesas Operacionais </t>
  </si>
  <si>
    <t xml:space="preserve"> Receitas </t>
  </si>
  <si>
    <t xml:space="preserve"> Despesas </t>
  </si>
  <si>
    <t xml:space="preserve"> Operações de Empréstimos, Cessões e Repasses</t>
  </si>
  <si>
    <t xml:space="preserve"> Provisão para Imposto de Renda </t>
  </si>
  <si>
    <t xml:space="preserve"> Provisão para Contribuição Social </t>
  </si>
  <si>
    <t xml:space="preserve"> Ativo Fiscal Diferido</t>
  </si>
  <si>
    <t xml:space="preserve"> Administradores </t>
  </si>
  <si>
    <t xml:space="preserve"> Empregados </t>
  </si>
  <si>
    <t xml:space="preserve">LUCRO LÍQUIDO </t>
  </si>
  <si>
    <t xml:space="preserve"> Outras Receitas Operacionais </t>
  </si>
  <si>
    <t xml:space="preserve">  Carteira Própria</t>
  </si>
  <si>
    <t xml:space="preserve">  Instrumentos Financeiros Derivativos</t>
  </si>
  <si>
    <t xml:space="preserve">  Vinculados à Prestação de Garantias</t>
  </si>
  <si>
    <t xml:space="preserve">  Pagamentos e Recebimentos a Liquidar</t>
  </si>
  <si>
    <t xml:space="preserve">  Correspondentes</t>
  </si>
  <si>
    <t xml:space="preserve">  Transferências Internas de Recursos</t>
  </si>
  <si>
    <t xml:space="preserve">  Operações de Crédito Vinculadas a Cessão</t>
  </si>
  <si>
    <t xml:space="preserve">  (Provisão para Operações de Crédito de Liquidação Duvidosa)</t>
  </si>
  <si>
    <t xml:space="preserve">  Rendas a Receber</t>
  </si>
  <si>
    <t xml:space="preserve">  Negociação e Intermediação de Valores</t>
  </si>
  <si>
    <t xml:space="preserve">  Outros Valores e Bens</t>
  </si>
  <si>
    <t xml:space="preserve">  Despesas Antecipadas</t>
  </si>
  <si>
    <t xml:space="preserve">  INVESTIMENTOS</t>
  </si>
  <si>
    <t xml:space="preserve">   Outros Investimentos</t>
  </si>
  <si>
    <t xml:space="preserve">   (Provisões para Perdas)</t>
  </si>
  <si>
    <t xml:space="preserve">   Imóveis de Uso</t>
  </si>
  <si>
    <t xml:space="preserve">   Outras Imobilizações de Uso</t>
  </si>
  <si>
    <t xml:space="preserve">  INTANGÍVEL</t>
  </si>
  <si>
    <t xml:space="preserve">   (Amortização Acumulada)</t>
  </si>
  <si>
    <t xml:space="preserve">  Depósitos à Vista</t>
  </si>
  <si>
    <t xml:space="preserve">  Depósitos de Poupança</t>
  </si>
  <si>
    <t xml:space="preserve">  Depósitos Interfinanceiros</t>
  </si>
  <si>
    <t xml:space="preserve">  Depósitos a Prazo</t>
  </si>
  <si>
    <t xml:space="preserve">  Carteira de Terceiros</t>
  </si>
  <si>
    <t xml:space="preserve">  Recursos de Letras Imobiliárias, Hipotecárias, de Crédito e Similares</t>
  </si>
  <si>
    <t xml:space="preserve">  Recebimentos e Pagamentos a Liquidar</t>
  </si>
  <si>
    <t xml:space="preserve">  Recursos em Trânsito de Terceiros</t>
  </si>
  <si>
    <t xml:space="preserve">  Cobrança e Arrecadação de Tributos e Assemelhados</t>
  </si>
  <si>
    <t xml:space="preserve">  Sociais e Estatutárias</t>
  </si>
  <si>
    <t xml:space="preserve"> RESULTADOS DE EXERCÍCIOS FUTUROS</t>
  </si>
  <si>
    <t xml:space="preserve"> PATRIMÔNIO LÍQUIDO</t>
  </si>
  <si>
    <t xml:space="preserve">  Reserva Legal</t>
  </si>
  <si>
    <t xml:space="preserve">  Reservas Estatutárias</t>
  </si>
  <si>
    <t xml:space="preserve">     Para Pagamento de Dividendos</t>
  </si>
  <si>
    <t xml:space="preserve">     Para Aumento de Capital</t>
  </si>
  <si>
    <t xml:space="preserve">   Ativos Intangíveis </t>
  </si>
  <si>
    <t>Demais Depositantes</t>
  </si>
  <si>
    <t>e) Patrimônio de Referência Mínimo Requerido para o RWA (e = d x fator "F" de cada período)</t>
  </si>
  <si>
    <t>q) Capital Principal (q = b1/d x 100)</t>
  </si>
  <si>
    <t>- DEPOSITOS JUDICIAIS COM REMUNERACAO</t>
  </si>
  <si>
    <t>- Certificate of Deposit - CD (TVME)</t>
  </si>
  <si>
    <t xml:space="preserve">  Aplicações Interfinanceiras de Liquidez</t>
  </si>
  <si>
    <t xml:space="preserve"> INSTRUMENTOS FINANCEIROS</t>
  </si>
  <si>
    <t xml:space="preserve">  Títulos e Valores Mobiliários</t>
  </si>
  <si>
    <t xml:space="preserve">  Relações Interfinanceiras</t>
  </si>
  <si>
    <t xml:space="preserve">  Créditos Vinculados - Depósitos no Banco Central</t>
  </si>
  <si>
    <t xml:space="preserve">  Relações Interdependências</t>
  </si>
  <si>
    <t xml:space="preserve">  Operações de Crédito</t>
  </si>
  <si>
    <t xml:space="preserve">  Setor Privado</t>
  </si>
  <si>
    <t xml:space="preserve">  Outros Créditos</t>
  </si>
  <si>
    <t xml:space="preserve">  Rendas a Receber de Adiantamentos Concedidos</t>
  </si>
  <si>
    <t xml:space="preserve">  Devedores por Compras de Valores e Bens</t>
  </si>
  <si>
    <t xml:space="preserve">  (Provisão para Outros Créditos de Liquidação Duvidosa)</t>
  </si>
  <si>
    <t xml:space="preserve"> OUTROS ATIVOS</t>
  </si>
  <si>
    <t xml:space="preserve">  Câmbio Comprado a Liquidar</t>
  </si>
  <si>
    <t xml:space="preserve">  Pagamentos a Ressarcir</t>
  </si>
  <si>
    <t xml:space="preserve">  Títulos e Créditos a Receber - Sem Característica de Crédito</t>
  </si>
  <si>
    <t xml:space="preserve">  Adiantamentos e Antecipações Salariais</t>
  </si>
  <si>
    <t xml:space="preserve">  Devedores Diversos</t>
  </si>
  <si>
    <t xml:space="preserve">  Outros</t>
  </si>
  <si>
    <t xml:space="preserve">  IMOBILIZADO</t>
  </si>
  <si>
    <t xml:space="preserve"> DEPÓSITOS E DEMAIS INSTRUMENTOS FINANCEIROS</t>
  </si>
  <si>
    <t xml:space="preserve">  Depósitos</t>
  </si>
  <si>
    <t xml:space="preserve">  Captações no Mercado Aberto</t>
  </si>
  <si>
    <t xml:space="preserve">  Recursos de Aceites e Emissão de Títulos</t>
  </si>
  <si>
    <t xml:space="preserve">  Provisão para Garantias Financeiras Prestadas</t>
  </si>
  <si>
    <t xml:space="preserve">  Obrigações por Operações Vinculadas a Cessão</t>
  </si>
  <si>
    <t xml:space="preserve">  Dívidas Subordinadas</t>
  </si>
  <si>
    <t xml:space="preserve">  Instrumentos de Dívida Elegíveis a Capital</t>
  </si>
  <si>
    <t xml:space="preserve"> PASSIVOS FISCAIS</t>
  </si>
  <si>
    <t xml:space="preserve">  Obrigações por Compra de Câmbio</t>
  </si>
  <si>
    <t xml:space="preserve">  (Adiantamentos sobre Contratos de Câmbio)</t>
  </si>
  <si>
    <t xml:space="preserve">  Obrigações por Convênios Oficiais</t>
  </si>
  <si>
    <t xml:space="preserve">  Obrigações por Aquisição de Bens e Direitos</t>
  </si>
  <si>
    <t xml:space="preserve">  Provisão para Pagamentos a Efetuar</t>
  </si>
  <si>
    <t xml:space="preserve">  Credores Diversos - País</t>
  </si>
  <si>
    <t xml:space="preserve">  Provisão para Outros Passivos</t>
  </si>
  <si>
    <t xml:space="preserve"> PROVISÕES</t>
  </si>
  <si>
    <t xml:space="preserve"> OUTROS PASSIVOS</t>
  </si>
  <si>
    <t xml:space="preserve">  Capital Social</t>
  </si>
  <si>
    <t xml:space="preserve">  Reservas de Capital</t>
  </si>
  <si>
    <t xml:space="preserve">  Reservas de Reavaliação</t>
  </si>
  <si>
    <t xml:space="preserve">  Reservas de Lucros</t>
  </si>
  <si>
    <t xml:space="preserve">  Outros Resultados Abrangentes</t>
  </si>
  <si>
    <t xml:space="preserve">  Ajustes de Avaliação Patrimonial</t>
  </si>
  <si>
    <t xml:space="preserve">  Lucros Acumulados</t>
  </si>
  <si>
    <t xml:space="preserve">  Participação dos Não Controladores</t>
  </si>
  <si>
    <t>PARTICIPAÇÃO DOS NÃO CONTROLADORES</t>
  </si>
  <si>
    <t xml:space="preserve">RESULTADO DA INTERMEDIAÇÃO FINANCEIRA </t>
  </si>
  <si>
    <t xml:space="preserve">  Devedores por Depósitos em Garantia</t>
  </si>
  <si>
    <t>Total de JCP distribuído - Valor Bruto (R$ Milhões)</t>
  </si>
  <si>
    <t>JCP distribuído por ação ON (R$)</t>
  </si>
  <si>
    <t>JCP distribuído por ação PN (R$)</t>
  </si>
  <si>
    <t>Total de JCP distribuído - Valor Líquido (R$ Milhões)</t>
  </si>
  <si>
    <t xml:space="preserve">  Direitos sobre Venda de Câmbio</t>
  </si>
  <si>
    <t xml:space="preserve">  Câmbio Vendido a Liquidar</t>
  </si>
  <si>
    <t xml:space="preserve">  Valores a Receber Relativos a Transações de Pagamentos</t>
  </si>
  <si>
    <t xml:space="preserve">  Vinculados ao Banco Central</t>
  </si>
  <si>
    <t xml:space="preserve">  Obrigações Vinculadas</t>
  </si>
  <si>
    <t xml:space="preserve">  Ativos Não Financeiros Mantidos para Venda</t>
  </si>
  <si>
    <t xml:space="preserve"> DISPONIBILIDADES</t>
  </si>
  <si>
    <t xml:space="preserve">  Créditos Vinculados - SFH - Sistema Financeiro da Habitação</t>
  </si>
  <si>
    <t xml:space="preserve">   (Depreciação Acumulada)</t>
  </si>
  <si>
    <t xml:space="preserve">  Outros Depósitos</t>
  </si>
  <si>
    <t>Notas Explicativas</t>
  </si>
  <si>
    <t>DRE Contábil (Trimestral)</t>
  </si>
  <si>
    <t>- Outros Depósitos</t>
  </si>
  <si>
    <t xml:space="preserve">  (Adiantamentos em Moeda Nacional Recebidos)</t>
  </si>
  <si>
    <t>n) Valor requerido de adicional de capital principal (n = d x fator "F" de cada período)</t>
  </si>
  <si>
    <t xml:space="preserve">  (Ações em Tesouraria)</t>
  </si>
  <si>
    <t xml:space="preserve">  Títulos e Créditos a Receber - Com Característica de Crédito</t>
  </si>
  <si>
    <t>Empréstimo FGTS</t>
  </si>
  <si>
    <t xml:space="preserve">  PROPRIEDADES PARA INVESTIMENTO</t>
  </si>
  <si>
    <t xml:space="preserve">   Imóveis para Renda</t>
  </si>
  <si>
    <t>Indústria</t>
  </si>
  <si>
    <t>Comércio</t>
  </si>
  <si>
    <t>Serviços</t>
  </si>
  <si>
    <t xml:space="preserve"> Reversões / (Despesas) de Provisões</t>
  </si>
  <si>
    <t xml:space="preserve">  (Provisão para Desvalorizações)</t>
  </si>
  <si>
    <t xml:space="preserve">  Material em Estoque</t>
  </si>
  <si>
    <t xml:space="preserve"> ATIVOS FISCAIS</t>
  </si>
  <si>
    <t xml:space="preserve">  Correntes</t>
  </si>
  <si>
    <t xml:space="preserve">  Diferidos</t>
  </si>
  <si>
    <r>
      <t>DRE Contábil (</t>
    </r>
    <r>
      <rPr>
        <b/>
        <sz val="10"/>
        <color rgb="FFFF0000"/>
        <rFont val="Segoe UI Semilight"/>
        <family val="2"/>
      </rPr>
      <t>Consolidado</t>
    </r>
    <r>
      <rPr>
        <b/>
        <sz val="10"/>
        <color theme="1"/>
        <rFont val="Segoe UI Semilight"/>
        <family val="2"/>
      </rPr>
      <t>)</t>
    </r>
  </si>
  <si>
    <r>
      <t>Captação (</t>
    </r>
    <r>
      <rPr>
        <b/>
        <sz val="10"/>
        <color rgb="FFFF0000"/>
        <rFont val="Segoe UI Semilight"/>
        <family val="2"/>
      </rPr>
      <t>Consolidado</t>
    </r>
    <r>
      <rPr>
        <b/>
        <sz val="10"/>
        <color theme="1"/>
        <rFont val="Segoe UI Semilight"/>
        <family val="2"/>
      </rPr>
      <t>)</t>
    </r>
  </si>
  <si>
    <r>
      <t>d.1) Risco de Crédito por Abordagem Padronizada - RWA</t>
    </r>
    <r>
      <rPr>
        <vertAlign val="subscript"/>
        <sz val="10"/>
        <color rgb="FF000000"/>
        <rFont val="Segoe UI Semilight"/>
        <family val="2"/>
      </rPr>
      <t>cpad</t>
    </r>
  </si>
  <si>
    <r>
      <t>d.2) Risco de Mercado - RWA</t>
    </r>
    <r>
      <rPr>
        <vertAlign val="subscript"/>
        <sz val="10"/>
        <color rgb="FF000000"/>
        <rFont val="Segoe UI Semilight"/>
        <family val="2"/>
      </rPr>
      <t>mpad</t>
    </r>
  </si>
  <si>
    <r>
      <t>d.3) Risco Operacional por Abordagem Padronizada - RWA</t>
    </r>
    <r>
      <rPr>
        <vertAlign val="subscript"/>
        <sz val="10"/>
        <color rgb="FF000000"/>
        <rFont val="Segoe UI Semilight"/>
        <family val="2"/>
      </rPr>
      <t>opad</t>
    </r>
  </si>
  <si>
    <r>
      <t>k) Valor Correspondente ao R</t>
    </r>
    <r>
      <rPr>
        <b/>
        <vertAlign val="subscript"/>
        <sz val="10"/>
        <color rgb="FF000000"/>
        <rFont val="Segoe UI Semilight"/>
        <family val="2"/>
      </rPr>
      <t>ban</t>
    </r>
  </si>
  <si>
    <r>
      <t>l) Patrimônio de Referência Mínimo Requerido para o Rwa e para R</t>
    </r>
    <r>
      <rPr>
        <b/>
        <vertAlign val="subscript"/>
        <sz val="10"/>
        <color rgb="FF000000"/>
        <rFont val="Segoe UI Semilight"/>
        <family val="2"/>
      </rPr>
      <t>ban</t>
    </r>
    <r>
      <rPr>
        <b/>
        <sz val="10"/>
        <color rgb="FF000000"/>
        <rFont val="Segoe UI Semilight"/>
        <family val="2"/>
      </rPr>
      <t xml:space="preserve"> (l = e + k)</t>
    </r>
  </si>
  <si>
    <r>
      <t>m) Margem sobre o PR Considerando a R</t>
    </r>
    <r>
      <rPr>
        <vertAlign val="subscript"/>
        <sz val="10"/>
        <color rgb="FF000000"/>
        <rFont val="Segoe UI Semilight"/>
        <family val="2"/>
      </rPr>
      <t xml:space="preserve">ban </t>
    </r>
    <r>
      <rPr>
        <sz val="10"/>
        <color rgb="FF000000"/>
        <rFont val="Segoe UI Semilight"/>
        <family val="2"/>
      </rPr>
      <t>(m = a - l)</t>
    </r>
  </si>
  <si>
    <r>
      <t>o) Índice de Basileia</t>
    </r>
    <r>
      <rPr>
        <b/>
        <vertAlign val="superscript"/>
        <sz val="10"/>
        <color rgb="FF000000"/>
        <rFont val="Segoe UI Semilight"/>
        <family val="2"/>
      </rPr>
      <t xml:space="preserve"> </t>
    </r>
    <r>
      <rPr>
        <b/>
        <sz val="10"/>
        <color rgb="FF000000"/>
        <rFont val="Segoe UI Semilight"/>
        <family val="2"/>
      </rPr>
      <t>(o = a/d x 100)</t>
    </r>
  </si>
  <si>
    <r>
      <t xml:space="preserve">Setor Econômico - </t>
    </r>
    <r>
      <rPr>
        <b/>
        <sz val="10"/>
        <color rgb="FFFF0000"/>
        <rFont val="Segoe UI Semilight"/>
        <family val="2"/>
      </rPr>
      <t>Consolidado</t>
    </r>
  </si>
  <si>
    <r>
      <t xml:space="preserve">Balanço Patrimonial </t>
    </r>
    <r>
      <rPr>
        <b/>
        <sz val="10"/>
        <color rgb="FFFF0000"/>
        <rFont val="Segoe UI Semilight"/>
        <family val="2"/>
      </rPr>
      <t>Consolidado</t>
    </r>
  </si>
  <si>
    <t>Total de Dividendo distribuído / provisionado - Valor (R$ Milhões)</t>
  </si>
  <si>
    <t>Dividendo distribuído / provsionado por ação ON (R$)</t>
  </si>
  <si>
    <t>Dividendo distribuído / provsionado por ação PN (R$)</t>
  </si>
  <si>
    <t>PROVISÃO PARA PERDAS ESPERADAS ASSOCIADAS AO RISCO DE CRÉDITO</t>
  </si>
  <si>
    <t>* Até Setembro/2022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</si>
</sst>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_(* #,##0.00_);_(* \(#,##0.00\);_(* &quot;-&quot;??_);_(@_)"/>
    <numFmt numFmtId="165" formatCode="_-* #,##0.0_-;\-* #,##0.0_-;_-* &quot;-&quot;??_-;_-@_-"/>
    <numFmt numFmtId="166" formatCode="_-* #,##0_-;\-* #,##0_-;_-* &quot;-&quot;??_-;_-@_-"/>
    <numFmt numFmtId="167" formatCode="_-* #,##0.0_-;\-* #,##0.0_-;_-* &quot;-&quot;?_-;_-@_-"/>
    <numFmt numFmtId="168" formatCode="0.0%"/>
    <numFmt numFmtId="169" formatCode="_-* #,##0.000_-;\-* #,##0.000_-;_-* &quot;-&quot;??_-;_-@_-"/>
    <numFmt numFmtId="170" formatCode="_(* #,##0_);_(* \(#,##0\);_(* &quot;-&quot;??_);_(@_)"/>
    <numFmt numFmtId="171" formatCode="_-* #,##0.000000_-;\-* #,##0.0000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name val="Arial"/>
      <family val="2"/>
    </font>
    <font>
      <sz val="11"/>
      <color theme="1"/>
      <name val="Segoe UI Semilight"/>
      <family val="2"/>
    </font>
    <font>
      <sz val="11"/>
      <color rgb="FF1D3668"/>
      <name val="Segoe UI Semilight"/>
      <family val="2"/>
    </font>
    <font>
      <sz val="10"/>
      <color theme="1"/>
      <name val="Segoe UI Semilight"/>
      <family val="2"/>
    </font>
    <font>
      <b/>
      <sz val="10"/>
      <color theme="1" tint="0.34998626667073579"/>
      <name val="Segoe UI Semilight"/>
      <family val="2"/>
    </font>
    <font>
      <b/>
      <sz val="10"/>
      <color theme="1"/>
      <name val="Segoe UI Semilight"/>
      <family val="2"/>
    </font>
    <font>
      <u/>
      <sz val="10"/>
      <color theme="10"/>
      <name val="Segoe UI Semilight"/>
      <family val="2"/>
    </font>
    <font>
      <sz val="10"/>
      <name val="Segoe UI Semilight"/>
      <family val="2"/>
    </font>
    <font>
      <b/>
      <sz val="10"/>
      <name val="Segoe UI Semilight"/>
      <family val="2"/>
    </font>
    <font>
      <b/>
      <sz val="11"/>
      <color rgb="FF1D3668"/>
      <name val="Segoe UI Semilight"/>
      <family val="2"/>
    </font>
    <font>
      <b/>
      <sz val="10"/>
      <color rgb="FFFF0000"/>
      <name val="Segoe UI Semilight"/>
      <family val="2"/>
    </font>
    <font>
      <sz val="10"/>
      <color rgb="FFFF0000"/>
      <name val="Segoe UI Semilight"/>
      <family val="2"/>
    </font>
    <font>
      <sz val="10"/>
      <color rgb="FF000000"/>
      <name val="Segoe UI Semilight"/>
      <family val="2"/>
    </font>
    <font>
      <b/>
      <sz val="10"/>
      <color rgb="FF000000"/>
      <name val="Segoe UI Semilight"/>
      <family val="2"/>
    </font>
    <font>
      <vertAlign val="subscript"/>
      <sz val="10"/>
      <color rgb="FF000000"/>
      <name val="Segoe UI Semilight"/>
      <family val="2"/>
    </font>
    <font>
      <b/>
      <vertAlign val="subscript"/>
      <sz val="10"/>
      <color rgb="FF000000"/>
      <name val="Segoe UI Semilight"/>
      <family val="2"/>
    </font>
    <font>
      <b/>
      <vertAlign val="superscript"/>
      <sz val="10"/>
      <color rgb="FF000000"/>
      <name val="Segoe UI Semilight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0" fontId="11" fillId="0" borderId="0"/>
  </cellStyleXfs>
  <cellXfs count="179">
    <xf numFmtId="0" fontId="0" fillId="0" borderId="0" xfId="0"/>
    <xf numFmtId="0" fontId="3" fillId="0" borderId="0" xfId="0" applyFont="1"/>
    <xf numFmtId="0" fontId="2" fillId="0" borderId="0" xfId="0" applyFont="1"/>
    <xf numFmtId="0" fontId="2" fillId="2" borderId="0" xfId="0" applyFont="1" applyFill="1"/>
    <xf numFmtId="0" fontId="2" fillId="0" borderId="0" xfId="0" applyFont="1" applyFill="1"/>
    <xf numFmtId="0" fontId="0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/>
    <xf numFmtId="0" fontId="4" fillId="0" borderId="0" xfId="0" applyFont="1" applyBorder="1"/>
    <xf numFmtId="0" fontId="6" fillId="0" borderId="0" xfId="3" applyAlignment="1">
      <alignment horizontal="center"/>
    </xf>
    <xf numFmtId="0" fontId="2" fillId="2" borderId="0" xfId="0" applyFont="1" applyFill="1" applyAlignment="1">
      <alignment horizontal="center"/>
    </xf>
    <xf numFmtId="43" fontId="1" fillId="0" borderId="0" xfId="1" applyFont="1" applyFill="1" applyAlignment="1">
      <alignment horizontal="right"/>
    </xf>
    <xf numFmtId="43" fontId="2" fillId="0" borderId="0" xfId="1" applyFont="1" applyFill="1" applyAlignment="1">
      <alignment horizontal="right"/>
    </xf>
    <xf numFmtId="165" fontId="1" fillId="0" borderId="0" xfId="1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165" fontId="0" fillId="0" borderId="0" xfId="1" applyNumberFormat="1" applyFont="1" applyFill="1" applyAlignment="1">
      <alignment horizontal="right"/>
    </xf>
    <xf numFmtId="165" fontId="0" fillId="0" borderId="0" xfId="1" applyNumberFormat="1" applyFont="1" applyAlignment="1">
      <alignment horizontal="right"/>
    </xf>
    <xf numFmtId="167" fontId="2" fillId="0" borderId="0" xfId="0" applyNumberFormat="1" applyFont="1" applyFill="1" applyAlignment="1">
      <alignment horizontal="center"/>
    </xf>
    <xf numFmtId="43" fontId="0" fillId="0" borderId="0" xfId="1" applyFont="1" applyAlignment="1">
      <alignment horizontal="right"/>
    </xf>
    <xf numFmtId="43" fontId="0" fillId="0" borderId="0" xfId="1" applyFont="1" applyFill="1" applyAlignment="1">
      <alignment horizontal="right"/>
    </xf>
    <xf numFmtId="165" fontId="1" fillId="2" borderId="0" xfId="1" applyNumberFormat="1" applyFont="1" applyFill="1" applyAlignment="1">
      <alignment horizontal="right"/>
    </xf>
    <xf numFmtId="165" fontId="0" fillId="2" borderId="0" xfId="1" applyNumberFormat="1" applyFont="1" applyFill="1" applyAlignment="1">
      <alignment horizontal="right"/>
    </xf>
    <xf numFmtId="43" fontId="1" fillId="0" borderId="0" xfId="1" applyNumberFormat="1" applyFont="1" applyFill="1" applyAlignment="1">
      <alignment horizontal="right"/>
    </xf>
    <xf numFmtId="0" fontId="2" fillId="3" borderId="1" xfId="0" applyFont="1" applyFill="1" applyBorder="1"/>
    <xf numFmtId="43" fontId="2" fillId="3" borderId="1" xfId="1" applyFont="1" applyFill="1" applyBorder="1" applyAlignment="1">
      <alignment horizontal="right"/>
    </xf>
    <xf numFmtId="43" fontId="0" fillId="0" borderId="0" xfId="1" applyNumberFormat="1" applyFont="1" applyAlignment="1">
      <alignment horizontal="right"/>
    </xf>
    <xf numFmtId="43" fontId="1" fillId="0" borderId="0" xfId="1" applyFont="1" applyFill="1" applyBorder="1" applyAlignment="1">
      <alignment horizontal="right"/>
    </xf>
    <xf numFmtId="0" fontId="2" fillId="0" borderId="0" xfId="0" applyFont="1" applyFill="1" applyBorder="1"/>
    <xf numFmtId="43" fontId="2" fillId="0" borderId="0" xfId="1" applyFont="1" applyFill="1" applyBorder="1" applyAlignment="1">
      <alignment horizontal="right"/>
    </xf>
    <xf numFmtId="0" fontId="2" fillId="3" borderId="2" xfId="0" applyFont="1" applyFill="1" applyBorder="1"/>
    <xf numFmtId="43" fontId="2" fillId="3" borderId="2" xfId="1" applyFont="1" applyFill="1" applyBorder="1" applyAlignment="1">
      <alignment horizontal="right"/>
    </xf>
    <xf numFmtId="43" fontId="2" fillId="3" borderId="2" xfId="1" applyNumberFormat="1" applyFont="1" applyFill="1" applyBorder="1" applyAlignment="1">
      <alignment horizontal="right"/>
    </xf>
    <xf numFmtId="165" fontId="2" fillId="3" borderId="2" xfId="1" applyNumberFormat="1" applyFont="1" applyFill="1" applyBorder="1" applyAlignment="1">
      <alignment horizontal="right"/>
    </xf>
    <xf numFmtId="43" fontId="2" fillId="0" borderId="0" xfId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left" indent="1"/>
    </xf>
    <xf numFmtId="43" fontId="2" fillId="5" borderId="0" xfId="1" applyFont="1" applyFill="1" applyAlignment="1">
      <alignment horizontal="right"/>
    </xf>
    <xf numFmtId="43" fontId="1" fillId="5" borderId="0" xfId="1" applyFont="1" applyFill="1" applyAlignment="1">
      <alignment horizontal="right"/>
    </xf>
    <xf numFmtId="43" fontId="2" fillId="0" borderId="0" xfId="0" applyNumberFormat="1" applyFont="1" applyFill="1"/>
    <xf numFmtId="0" fontId="2" fillId="2" borderId="0" xfId="0" applyFont="1" applyFill="1" applyBorder="1" applyAlignment="1">
      <alignment horizontal="center"/>
    </xf>
    <xf numFmtId="169" fontId="1" fillId="0" borderId="0" xfId="1" applyNumberFormat="1" applyFont="1" applyFill="1" applyBorder="1" applyAlignment="1">
      <alignment horizontal="right"/>
    </xf>
    <xf numFmtId="165" fontId="1" fillId="2" borderId="0" xfId="1" applyNumberFormat="1" applyFont="1" applyFill="1" applyBorder="1" applyAlignment="1">
      <alignment horizontal="right"/>
    </xf>
    <xf numFmtId="165" fontId="1" fillId="0" borderId="0" xfId="1" applyNumberFormat="1" applyFont="1" applyFill="1" applyBorder="1" applyAlignment="1">
      <alignment horizontal="right"/>
    </xf>
    <xf numFmtId="43" fontId="0" fillId="0" borderId="0" xfId="1" applyFont="1" applyBorder="1" applyAlignment="1">
      <alignment horizontal="right"/>
    </xf>
    <xf numFmtId="165" fontId="0" fillId="0" borderId="0" xfId="1" applyNumberFormat="1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43" fontId="2" fillId="0" borderId="2" xfId="1" applyFont="1" applyFill="1" applyBorder="1" applyAlignment="1">
      <alignment horizontal="right"/>
    </xf>
    <xf numFmtId="43" fontId="2" fillId="0" borderId="0" xfId="1" quotePrefix="1" applyFont="1" applyFill="1" applyBorder="1" applyAlignment="1">
      <alignment horizontal="right"/>
    </xf>
    <xf numFmtId="43" fontId="0" fillId="0" borderId="0" xfId="1" quotePrefix="1" applyFont="1" applyFill="1" applyBorder="1" applyAlignment="1">
      <alignment horizontal="right"/>
    </xf>
    <xf numFmtId="0" fontId="0" fillId="0" borderId="0" xfId="0" applyFont="1"/>
    <xf numFmtId="0" fontId="12" fillId="4" borderId="0" xfId="0" applyFont="1" applyFill="1"/>
    <xf numFmtId="0" fontId="13" fillId="4" borderId="0" xfId="0" applyFont="1" applyFill="1"/>
    <xf numFmtId="0" fontId="12" fillId="0" borderId="0" xfId="0" applyFont="1"/>
    <xf numFmtId="0" fontId="14" fillId="4" borderId="0" xfId="0" applyFont="1" applyFill="1"/>
    <xf numFmtId="0" fontId="15" fillId="4" borderId="0" xfId="0" applyFont="1" applyFill="1"/>
    <xf numFmtId="0" fontId="16" fillId="4" borderId="0" xfId="0" applyFont="1" applyFill="1"/>
    <xf numFmtId="0" fontId="14" fillId="0" borderId="0" xfId="0" applyFont="1"/>
    <xf numFmtId="0" fontId="14" fillId="4" borderId="0" xfId="0" applyFont="1" applyFill="1" applyBorder="1"/>
    <xf numFmtId="0" fontId="14" fillId="4" borderId="2" xfId="0" applyFont="1" applyFill="1" applyBorder="1"/>
    <xf numFmtId="0" fontId="14" fillId="0" borderId="0" xfId="0" applyFont="1" applyFill="1"/>
    <xf numFmtId="0" fontId="17" fillId="0" borderId="0" xfId="3" applyFont="1" applyAlignment="1">
      <alignment horizontal="center"/>
    </xf>
    <xf numFmtId="0" fontId="16" fillId="2" borderId="0" xfId="0" applyFont="1" applyFill="1" applyAlignment="1">
      <alignment horizontal="center"/>
    </xf>
    <xf numFmtId="17" fontId="16" fillId="2" borderId="0" xfId="0" applyNumberFormat="1" applyFont="1" applyFill="1" applyAlignment="1">
      <alignment horizontal="center"/>
    </xf>
    <xf numFmtId="0" fontId="16" fillId="8" borderId="1" xfId="0" applyFont="1" applyFill="1" applyBorder="1" applyAlignment="1">
      <alignment horizontal="left"/>
    </xf>
    <xf numFmtId="0" fontId="16" fillId="8" borderId="1" xfId="0" applyFont="1" applyFill="1" applyBorder="1"/>
    <xf numFmtId="0" fontId="14" fillId="0" borderId="0" xfId="0" applyFont="1" applyFill="1" applyBorder="1" applyAlignment="1">
      <alignment horizontal="left"/>
    </xf>
    <xf numFmtId="166" fontId="16" fillId="8" borderId="1" xfId="1" applyNumberFormat="1" applyFont="1" applyFill="1" applyBorder="1"/>
    <xf numFmtId="166" fontId="16" fillId="8" borderId="1" xfId="0" applyNumberFormat="1" applyFont="1" applyFill="1" applyBorder="1"/>
    <xf numFmtId="166" fontId="16" fillId="0" borderId="0" xfId="1" applyNumberFormat="1" applyFont="1" applyFill="1"/>
    <xf numFmtId="166" fontId="16" fillId="0" borderId="0" xfId="1" applyNumberFormat="1" applyFont="1"/>
    <xf numFmtId="0" fontId="16" fillId="0" borderId="0" xfId="0" applyFont="1"/>
    <xf numFmtId="0" fontId="14" fillId="0" borderId="0" xfId="0" applyFont="1" applyFill="1" applyBorder="1" applyAlignment="1">
      <alignment horizontal="left" indent="1"/>
    </xf>
    <xf numFmtId="166" fontId="14" fillId="0" borderId="0" xfId="1" applyNumberFormat="1" applyFont="1"/>
    <xf numFmtId="170" fontId="18" fillId="5" borderId="0" xfId="1" applyNumberFormat="1" applyFont="1" applyFill="1" applyBorder="1" applyProtection="1"/>
    <xf numFmtId="170" fontId="19" fillId="5" borderId="0" xfId="1" applyNumberFormat="1" applyFont="1" applyFill="1" applyBorder="1" applyProtection="1"/>
    <xf numFmtId="170" fontId="18" fillId="0" borderId="0" xfId="1" applyNumberFormat="1" applyFont="1" applyFill="1" applyBorder="1" applyProtection="1"/>
    <xf numFmtId="166" fontId="14" fillId="0" borderId="0" xfId="1" applyNumberFormat="1" applyFont="1" applyFill="1"/>
    <xf numFmtId="170" fontId="16" fillId="8" borderId="1" xfId="0" applyNumberFormat="1" applyFont="1" applyFill="1" applyBorder="1"/>
    <xf numFmtId="170" fontId="16" fillId="0" borderId="0" xfId="0" applyNumberFormat="1" applyFont="1" applyFill="1" applyBorder="1"/>
    <xf numFmtId="170" fontId="14" fillId="0" borderId="0" xfId="0" applyNumberFormat="1" applyFont="1" applyFill="1" applyBorder="1"/>
    <xf numFmtId="0" fontId="16" fillId="0" borderId="0" xfId="0" applyFont="1" applyFill="1"/>
    <xf numFmtId="0" fontId="16" fillId="8" borderId="0" xfId="0" applyFont="1" applyFill="1" applyBorder="1" applyAlignment="1">
      <alignment horizontal="left"/>
    </xf>
    <xf numFmtId="170" fontId="16" fillId="8" borderId="0" xfId="0" applyNumberFormat="1" applyFont="1" applyFill="1"/>
    <xf numFmtId="0" fontId="16" fillId="2" borderId="1" xfId="0" applyFont="1" applyFill="1" applyBorder="1" applyAlignment="1">
      <alignment horizontal="left"/>
    </xf>
    <xf numFmtId="166" fontId="16" fillId="2" borderId="1" xfId="0" applyNumberFormat="1" applyFont="1" applyFill="1" applyBorder="1"/>
    <xf numFmtId="0" fontId="16" fillId="9" borderId="6" xfId="0" applyFont="1" applyFill="1" applyBorder="1" applyAlignment="1">
      <alignment horizontal="left"/>
    </xf>
    <xf numFmtId="170" fontId="16" fillId="9" borderId="4" xfId="0" applyNumberFormat="1" applyFont="1" applyFill="1" applyBorder="1"/>
    <xf numFmtId="166" fontId="14" fillId="0" borderId="0" xfId="0" applyNumberFormat="1" applyFont="1"/>
    <xf numFmtId="0" fontId="1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2" fillId="0" borderId="1" xfId="0" applyFont="1" applyBorder="1"/>
    <xf numFmtId="0" fontId="16" fillId="7" borderId="0" xfId="0" applyFont="1" applyFill="1" applyBorder="1"/>
    <xf numFmtId="0" fontId="16" fillId="2" borderId="1" xfId="0" applyFont="1" applyFill="1" applyBorder="1" applyAlignment="1">
      <alignment vertical="center"/>
    </xf>
    <xf numFmtId="166" fontId="14" fillId="0" borderId="0" xfId="1" applyNumberFormat="1" applyFont="1" applyFill="1" applyBorder="1" applyAlignment="1">
      <alignment horizontal="right"/>
    </xf>
    <xf numFmtId="170" fontId="19" fillId="2" borderId="1" xfId="1" applyNumberFormat="1" applyFont="1" applyFill="1" applyBorder="1" applyProtection="1"/>
    <xf numFmtId="0" fontId="16" fillId="0" borderId="0" xfId="0" applyFont="1" applyFill="1" applyBorder="1"/>
    <xf numFmtId="170" fontId="19" fillId="0" borderId="0" xfId="1" applyNumberFormat="1" applyFont="1" applyFill="1" applyBorder="1" applyProtection="1"/>
    <xf numFmtId="166" fontId="16" fillId="0" borderId="0" xfId="1" applyNumberFormat="1" applyFont="1" applyFill="1" applyBorder="1" applyAlignment="1">
      <alignment horizontal="right"/>
    </xf>
    <xf numFmtId="170" fontId="14" fillId="0" borderId="0" xfId="0" applyNumberFormat="1" applyFont="1"/>
    <xf numFmtId="0" fontId="18" fillId="0" borderId="0" xfId="0" applyFont="1" applyFill="1" applyAlignment="1">
      <alignment horizontal="right"/>
    </xf>
    <xf numFmtId="0" fontId="16" fillId="2" borderId="0" xfId="0" applyFont="1" applyFill="1" applyBorder="1" applyAlignment="1">
      <alignment horizontal="center"/>
    </xf>
    <xf numFmtId="166" fontId="14" fillId="0" borderId="0" xfId="1" applyNumberFormat="1" applyFont="1" applyFill="1" applyAlignment="1">
      <alignment horizontal="right"/>
    </xf>
    <xf numFmtId="0" fontId="16" fillId="7" borderId="1" xfId="0" applyFont="1" applyFill="1" applyBorder="1"/>
    <xf numFmtId="0" fontId="22" fillId="0" borderId="8" xfId="0" applyFont="1" applyBorder="1" applyAlignment="1"/>
    <xf numFmtId="0" fontId="22" fillId="0" borderId="0" xfId="0" applyFont="1" applyAlignment="1">
      <alignment horizontal="left"/>
    </xf>
    <xf numFmtId="0" fontId="16" fillId="2" borderId="0" xfId="0" applyFont="1" applyFill="1" applyBorder="1"/>
    <xf numFmtId="0" fontId="16" fillId="2" borderId="0" xfId="0" applyFont="1" applyFill="1" applyAlignment="1">
      <alignment horizontal="left"/>
    </xf>
    <xf numFmtId="0" fontId="14" fillId="2" borderId="0" xfId="0" applyFont="1" applyFill="1"/>
    <xf numFmtId="0" fontId="14" fillId="0" borderId="0" xfId="0" applyFont="1" applyFill="1" applyAlignment="1">
      <alignment vertical="center"/>
    </xf>
    <xf numFmtId="0" fontId="18" fillId="0" borderId="0" xfId="0" applyFont="1" applyFill="1" applyAlignment="1">
      <alignment horizontal="left" indent="2"/>
    </xf>
    <xf numFmtId="166" fontId="18" fillId="0" borderId="0" xfId="1" applyNumberFormat="1" applyFont="1" applyFill="1"/>
    <xf numFmtId="0" fontId="18" fillId="0" borderId="0" xfId="0" applyFont="1" applyFill="1"/>
    <xf numFmtId="166" fontId="18" fillId="0" borderId="0" xfId="0" applyNumberFormat="1" applyFont="1" applyFill="1"/>
    <xf numFmtId="49" fontId="18" fillId="0" borderId="0" xfId="0" applyNumberFormat="1" applyFont="1" applyFill="1" applyAlignment="1">
      <alignment horizontal="left" indent="2"/>
    </xf>
    <xf numFmtId="166" fontId="14" fillId="0" borderId="0" xfId="0" applyNumberFormat="1" applyFont="1" applyFill="1"/>
    <xf numFmtId="49" fontId="14" fillId="0" borderId="0" xfId="0" applyNumberFormat="1" applyFont="1" applyFill="1"/>
    <xf numFmtId="0" fontId="14" fillId="0" borderId="0" xfId="0" quotePrefix="1" applyFont="1" applyFill="1"/>
    <xf numFmtId="0" fontId="14" fillId="10" borderId="0" xfId="0" applyFont="1" applyFill="1"/>
    <xf numFmtId="0" fontId="16" fillId="8" borderId="6" xfId="0" applyFont="1" applyFill="1" applyBorder="1"/>
    <xf numFmtId="0" fontId="16" fillId="7" borderId="7" xfId="0" applyFont="1" applyFill="1" applyBorder="1"/>
    <xf numFmtId="166" fontId="16" fillId="9" borderId="4" xfId="1" applyNumberFormat="1" applyFont="1" applyFill="1" applyBorder="1"/>
    <xf numFmtId="0" fontId="16" fillId="2" borderId="3" xfId="0" applyFont="1" applyFill="1" applyBorder="1" applyAlignment="1">
      <alignment horizontal="left"/>
    </xf>
    <xf numFmtId="0" fontId="16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0" fontId="16" fillId="8" borderId="5" xfId="0" applyFont="1" applyFill="1" applyBorder="1" applyAlignment="1">
      <alignment horizontal="justify" vertical="center" wrapText="1"/>
    </xf>
    <xf numFmtId="166" fontId="16" fillId="8" borderId="5" xfId="1" applyNumberFormat="1" applyFont="1" applyFill="1" applyBorder="1" applyAlignment="1">
      <alignment horizontal="right"/>
    </xf>
    <xf numFmtId="0" fontId="16" fillId="8" borderId="1" xfId="0" applyFont="1" applyFill="1" applyBorder="1" applyAlignment="1">
      <alignment horizontal="justify" vertical="center" wrapText="1"/>
    </xf>
    <xf numFmtId="166" fontId="16" fillId="8" borderId="1" xfId="1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justify" vertical="center" wrapText="1"/>
    </xf>
    <xf numFmtId="0" fontId="23" fillId="0" borderId="0" xfId="0" applyFont="1" applyFill="1" applyBorder="1" applyAlignment="1">
      <alignment horizontal="justify" vertical="center" wrapText="1"/>
    </xf>
    <xf numFmtId="0" fontId="24" fillId="8" borderId="1" xfId="0" applyFont="1" applyFill="1" applyBorder="1" applyAlignment="1">
      <alignment horizontal="justify" vertical="center" wrapText="1"/>
    </xf>
    <xf numFmtId="0" fontId="23" fillId="6" borderId="0" xfId="0" applyFont="1" applyFill="1" applyBorder="1" applyAlignment="1">
      <alignment horizontal="justify" vertical="center" wrapText="1"/>
    </xf>
    <xf numFmtId="0" fontId="14" fillId="6" borderId="0" xfId="0" applyFont="1" applyFill="1" applyBorder="1" applyAlignment="1">
      <alignment horizontal="justify" vertical="center" wrapText="1"/>
    </xf>
    <xf numFmtId="0" fontId="24" fillId="0" borderId="1" xfId="0" applyFont="1" applyFill="1" applyBorder="1" applyAlignment="1">
      <alignment horizontal="justify" vertical="center" wrapText="1"/>
    </xf>
    <xf numFmtId="166" fontId="16" fillId="0" borderId="1" xfId="1" applyNumberFormat="1" applyFont="1" applyFill="1" applyBorder="1" applyAlignment="1">
      <alignment horizontal="right"/>
    </xf>
    <xf numFmtId="166" fontId="14" fillId="0" borderId="0" xfId="2" applyNumberFormat="1" applyFont="1" applyFill="1" applyAlignment="1">
      <alignment horizontal="right"/>
    </xf>
    <xf numFmtId="166" fontId="16" fillId="8" borderId="1" xfId="2" applyNumberFormat="1" applyFont="1" applyFill="1" applyBorder="1" applyAlignment="1">
      <alignment horizontal="right"/>
    </xf>
    <xf numFmtId="0" fontId="24" fillId="2" borderId="0" xfId="0" applyFont="1" applyFill="1" applyBorder="1" applyAlignment="1">
      <alignment horizontal="justify" vertical="center" wrapText="1"/>
    </xf>
    <xf numFmtId="10" fontId="16" fillId="2" borderId="0" xfId="2" applyNumberFormat="1" applyFont="1" applyFill="1" applyAlignment="1">
      <alignment horizontal="right"/>
    </xf>
    <xf numFmtId="10" fontId="16" fillId="8" borderId="1" xfId="2" applyNumberFormat="1" applyFont="1" applyFill="1" applyBorder="1" applyAlignment="1">
      <alignment horizontal="right"/>
    </xf>
    <xf numFmtId="43" fontId="14" fillId="0" borderId="0" xfId="1" applyFont="1" applyFill="1" applyAlignment="1">
      <alignment horizontal="right"/>
    </xf>
    <xf numFmtId="43" fontId="14" fillId="0" borderId="0" xfId="1" applyNumberFormat="1" applyFont="1" applyFill="1" applyAlignment="1">
      <alignment horizontal="right"/>
    </xf>
    <xf numFmtId="165" fontId="14" fillId="0" borderId="0" xfId="1" applyNumberFormat="1" applyFont="1" applyFill="1" applyAlignment="1">
      <alignment horizontal="right"/>
    </xf>
    <xf numFmtId="43" fontId="16" fillId="0" borderId="0" xfId="1" applyFont="1" applyFill="1" applyAlignment="1">
      <alignment horizontal="right"/>
    </xf>
    <xf numFmtId="0" fontId="16" fillId="8" borderId="1" xfId="0" applyFont="1" applyFill="1" applyBorder="1" applyAlignment="1">
      <alignment horizontal="center"/>
    </xf>
    <xf numFmtId="0" fontId="14" fillId="8" borderId="1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43" fontId="16" fillId="0" borderId="0" xfId="1" applyFont="1" applyFill="1" applyBorder="1" applyAlignment="1">
      <alignment horizontal="right"/>
    </xf>
    <xf numFmtId="0" fontId="16" fillId="0" borderId="0" xfId="0" quotePrefix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171" fontId="14" fillId="0" borderId="0" xfId="1" applyNumberFormat="1" applyFont="1" applyFill="1" applyBorder="1" applyAlignment="1">
      <alignment horizontal="right"/>
    </xf>
    <xf numFmtId="43" fontId="14" fillId="0" borderId="0" xfId="1" applyFont="1" applyFill="1" applyBorder="1" applyAlignment="1">
      <alignment horizontal="right"/>
    </xf>
    <xf numFmtId="0" fontId="14" fillId="0" borderId="0" xfId="0" quotePrefix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9" fontId="14" fillId="0" borderId="0" xfId="2" applyFont="1" applyFill="1" applyAlignment="1">
      <alignment horizontal="right"/>
    </xf>
    <xf numFmtId="0" fontId="12" fillId="0" borderId="0" xfId="0" applyFont="1" applyBorder="1"/>
    <xf numFmtId="0" fontId="16" fillId="2" borderId="1" xfId="0" applyFont="1" applyFill="1" applyBorder="1"/>
    <xf numFmtId="0" fontId="16" fillId="2" borderId="1" xfId="0" applyFont="1" applyFill="1" applyBorder="1" applyAlignment="1">
      <alignment horizontal="center"/>
    </xf>
    <xf numFmtId="0" fontId="14" fillId="0" borderId="0" xfId="0" applyFont="1" applyFill="1" applyAlignment="1">
      <alignment horizontal="left" indent="1"/>
    </xf>
    <xf numFmtId="0" fontId="14" fillId="0" borderId="0" xfId="0" applyFont="1" applyAlignment="1">
      <alignment horizontal="left" indent="1"/>
    </xf>
    <xf numFmtId="168" fontId="14" fillId="0" borderId="0" xfId="2" applyNumberFormat="1" applyFont="1" applyFill="1" applyBorder="1" applyAlignment="1">
      <alignment horizontal="right"/>
    </xf>
    <xf numFmtId="9" fontId="14" fillId="0" borderId="0" xfId="2" applyFont="1" applyFill="1" applyBorder="1" applyAlignment="1">
      <alignment horizontal="right"/>
    </xf>
    <xf numFmtId="166" fontId="18" fillId="0" borderId="0" xfId="1" applyNumberFormat="1" applyFont="1" applyFill="1" applyBorder="1" applyAlignment="1">
      <alignment horizontal="right"/>
    </xf>
    <xf numFmtId="0" fontId="16" fillId="7" borderId="6" xfId="0" applyFont="1" applyFill="1" applyBorder="1"/>
    <xf numFmtId="166" fontId="16" fillId="7" borderId="4" xfId="1" applyNumberFormat="1" applyFont="1" applyFill="1" applyBorder="1" applyAlignment="1">
      <alignment horizontal="right"/>
    </xf>
    <xf numFmtId="43" fontId="16" fillId="7" borderId="4" xfId="1" applyFont="1" applyFill="1" applyBorder="1" applyAlignment="1">
      <alignment horizontal="right"/>
    </xf>
    <xf numFmtId="43" fontId="14" fillId="8" borderId="1" xfId="1" applyFont="1" applyFill="1" applyBorder="1" applyAlignment="1">
      <alignment horizontal="right"/>
    </xf>
    <xf numFmtId="43" fontId="14" fillId="7" borderId="4" xfId="1" applyNumberFormat="1" applyFont="1" applyFill="1" applyBorder="1" applyAlignment="1">
      <alignment horizontal="right"/>
    </xf>
    <xf numFmtId="43" fontId="14" fillId="7" borderId="4" xfId="1" applyFont="1" applyFill="1" applyBorder="1" applyAlignment="1">
      <alignment horizontal="right"/>
    </xf>
    <xf numFmtId="0" fontId="16" fillId="9" borderId="0" xfId="0" applyFont="1" applyFill="1" applyBorder="1"/>
    <xf numFmtId="0" fontId="20" fillId="4" borderId="0" xfId="0" applyFont="1" applyFill="1"/>
    <xf numFmtId="0" fontId="18" fillId="10" borderId="0" xfId="0" applyFont="1" applyFill="1"/>
    <xf numFmtId="0" fontId="20" fillId="4" borderId="1" xfId="0" applyFont="1" applyFill="1" applyBorder="1" applyAlignment="1">
      <alignment horizontal="left"/>
    </xf>
    <xf numFmtId="0" fontId="7" fillId="0" borderId="0" xfId="0" applyFont="1" applyFill="1" applyAlignment="1">
      <alignment horizontal="left" wrapText="1"/>
    </xf>
  </cellXfs>
  <cellStyles count="6">
    <cellStyle name="Hiperlink" xfId="3" builtinId="8"/>
    <cellStyle name="Normal" xfId="0" builtinId="0"/>
    <cellStyle name="Normal 2" xfId="5"/>
    <cellStyle name="Porcentagem" xfId="2" builtinId="5"/>
    <cellStyle name="Separador de milhares 2" xfId="4"/>
    <cellStyle name="Vírgula" xfId="1" builtinId="3"/>
  </cellStyles>
  <dxfs count="0"/>
  <tableStyles count="0" defaultTableStyle="TableStyleMedium2" defaultPivotStyle="PivotStyleLight16"/>
  <colors>
    <mruColors>
      <color rgb="FF00FF00"/>
      <color rgb="FF1D3668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</xdr:rowOff>
    </xdr:from>
    <xdr:to>
      <xdr:col>4</xdr:col>
      <xdr:colOff>409575</xdr:colOff>
      <xdr:row>9</xdr:row>
      <xdr:rowOff>91417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"/>
          <a:ext cx="3019425" cy="20154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28575</xdr:rowOff>
    </xdr:from>
    <xdr:to>
      <xdr:col>3</xdr:col>
      <xdr:colOff>0</xdr:colOff>
      <xdr:row>6</xdr:row>
      <xdr:rowOff>66675</xdr:rowOff>
    </xdr:to>
    <xdr:sp macro="" textlink="">
      <xdr:nvSpPr>
        <xdr:cNvPr id="5" name="Retângulo de cantos arredondados 4"/>
        <xdr:cNvSpPr/>
      </xdr:nvSpPr>
      <xdr:spPr>
        <a:xfrm>
          <a:off x="4857750" y="742950"/>
          <a:ext cx="800100" cy="285750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16</xdr:col>
      <xdr:colOff>704850</xdr:colOff>
      <xdr:row>4</xdr:row>
      <xdr:rowOff>28575</xdr:rowOff>
    </xdr:from>
    <xdr:to>
      <xdr:col>18</xdr:col>
      <xdr:colOff>76200</xdr:colOff>
      <xdr:row>6</xdr:row>
      <xdr:rowOff>66675</xdr:rowOff>
    </xdr:to>
    <xdr:sp macro="" textlink="">
      <xdr:nvSpPr>
        <xdr:cNvPr id="7" name="Retângulo de cantos arredondados 2"/>
        <xdr:cNvSpPr/>
      </xdr:nvSpPr>
      <xdr:spPr>
        <a:xfrm>
          <a:off x="39233475" y="762000"/>
          <a:ext cx="971550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0</xdr:colOff>
      <xdr:row>1</xdr:row>
      <xdr:rowOff>114300</xdr:rowOff>
    </xdr:from>
    <xdr:to>
      <xdr:col>0</xdr:col>
      <xdr:colOff>1055955</xdr:colOff>
      <xdr:row>6</xdr:row>
      <xdr:rowOff>23380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0"/>
          <a:ext cx="1055955" cy="704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47625</xdr:rowOff>
    </xdr:from>
    <xdr:to>
      <xdr:col>2</xdr:col>
      <xdr:colOff>19050</xdr:colOff>
      <xdr:row>6</xdr:row>
      <xdr:rowOff>85725</xdr:rowOff>
    </xdr:to>
    <xdr:sp macro="" textlink="">
      <xdr:nvSpPr>
        <xdr:cNvPr id="3" name="Retângulo de cantos arredondados 2"/>
        <xdr:cNvSpPr/>
      </xdr:nvSpPr>
      <xdr:spPr>
        <a:xfrm>
          <a:off x="5314950" y="781050"/>
          <a:ext cx="800100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12</xdr:col>
      <xdr:colOff>0</xdr:colOff>
      <xdr:row>4</xdr:row>
      <xdr:rowOff>28575</xdr:rowOff>
    </xdr:from>
    <xdr:to>
      <xdr:col>13</xdr:col>
      <xdr:colOff>0</xdr:colOff>
      <xdr:row>6</xdr:row>
      <xdr:rowOff>66675</xdr:rowOff>
    </xdr:to>
    <xdr:sp macro="" textlink="">
      <xdr:nvSpPr>
        <xdr:cNvPr id="6" name="Retângulo de cantos arredondados 3"/>
        <xdr:cNvSpPr/>
      </xdr:nvSpPr>
      <xdr:spPr>
        <a:xfrm>
          <a:off x="16211550" y="762000"/>
          <a:ext cx="7715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0</xdr:colOff>
      <xdr:row>1</xdr:row>
      <xdr:rowOff>114300</xdr:rowOff>
    </xdr:from>
    <xdr:to>
      <xdr:col>0</xdr:col>
      <xdr:colOff>1055955</xdr:colOff>
      <xdr:row>6</xdr:row>
      <xdr:rowOff>19050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0"/>
          <a:ext cx="1055955" cy="704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104775</xdr:rowOff>
    </xdr:from>
    <xdr:to>
      <xdr:col>0</xdr:col>
      <xdr:colOff>1055955</xdr:colOff>
      <xdr:row>6</xdr:row>
      <xdr:rowOff>9525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5275"/>
          <a:ext cx="1055955" cy="7048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</xdr:row>
      <xdr:rowOff>57150</xdr:rowOff>
    </xdr:from>
    <xdr:to>
      <xdr:col>2</xdr:col>
      <xdr:colOff>19050</xdr:colOff>
      <xdr:row>6</xdr:row>
      <xdr:rowOff>95250</xdr:rowOff>
    </xdr:to>
    <xdr:sp macro="" textlink="">
      <xdr:nvSpPr>
        <xdr:cNvPr id="6" name="Retângulo de cantos arredondados 5"/>
        <xdr:cNvSpPr/>
      </xdr:nvSpPr>
      <xdr:spPr>
        <a:xfrm>
          <a:off x="5314950" y="790575"/>
          <a:ext cx="800100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19975</xdr:colOff>
      <xdr:row>0</xdr:row>
      <xdr:rowOff>111947</xdr:rowOff>
    </xdr:from>
    <xdr:to>
      <xdr:col>0</xdr:col>
      <xdr:colOff>893534</xdr:colOff>
      <xdr:row>5</xdr:row>
      <xdr:rowOff>50071</xdr:rowOff>
    </xdr:to>
    <xdr:pic>
      <xdr:nvPicPr>
        <xdr:cNvPr id="2" name="Picture 4" descr="logo_ABC_preto.png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14081" r="11993" b="22819"/>
        <a:stretch/>
      </xdr:blipFill>
      <xdr:spPr>
        <a:xfrm>
          <a:off x="96175" y="111947"/>
          <a:ext cx="873559" cy="75727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</xdr:row>
      <xdr:rowOff>28575</xdr:rowOff>
    </xdr:from>
    <xdr:to>
      <xdr:col>2</xdr:col>
      <xdr:colOff>9525</xdr:colOff>
      <xdr:row>6</xdr:row>
      <xdr:rowOff>66675</xdr:rowOff>
    </xdr:to>
    <xdr:sp macro="" textlink="">
      <xdr:nvSpPr>
        <xdr:cNvPr id="3" name="Retângulo de cantos arredondados 2"/>
        <xdr:cNvSpPr/>
      </xdr:nvSpPr>
      <xdr:spPr>
        <a:xfrm>
          <a:off x="5000625" y="762000"/>
          <a:ext cx="8096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45</xdr:col>
      <xdr:colOff>0</xdr:colOff>
      <xdr:row>4</xdr:row>
      <xdr:rowOff>28575</xdr:rowOff>
    </xdr:from>
    <xdr:to>
      <xdr:col>46</xdr:col>
      <xdr:colOff>0</xdr:colOff>
      <xdr:row>6</xdr:row>
      <xdr:rowOff>66675</xdr:rowOff>
    </xdr:to>
    <xdr:sp macro="" textlink="">
      <xdr:nvSpPr>
        <xdr:cNvPr id="5" name="Retângulo de cantos arredondados 3"/>
        <xdr:cNvSpPr/>
      </xdr:nvSpPr>
      <xdr:spPr>
        <a:xfrm>
          <a:off x="41052750" y="762000"/>
          <a:ext cx="8096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19975</xdr:colOff>
      <xdr:row>0</xdr:row>
      <xdr:rowOff>111947</xdr:rowOff>
    </xdr:from>
    <xdr:to>
      <xdr:col>0</xdr:col>
      <xdr:colOff>893534</xdr:colOff>
      <xdr:row>5</xdr:row>
      <xdr:rowOff>50071</xdr:rowOff>
    </xdr:to>
    <xdr:pic>
      <xdr:nvPicPr>
        <xdr:cNvPr id="2" name="Picture 4" descr="logo_ABC_preto.png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14081" r="11993" b="22819"/>
        <a:stretch/>
      </xdr:blipFill>
      <xdr:spPr>
        <a:xfrm>
          <a:off x="19975" y="111947"/>
          <a:ext cx="873559" cy="75727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</xdr:row>
      <xdr:rowOff>28575</xdr:rowOff>
    </xdr:from>
    <xdr:to>
      <xdr:col>2</xdr:col>
      <xdr:colOff>0</xdr:colOff>
      <xdr:row>6</xdr:row>
      <xdr:rowOff>66675</xdr:rowOff>
    </xdr:to>
    <xdr:sp macro="" textlink="">
      <xdr:nvSpPr>
        <xdr:cNvPr id="3" name="Retângulo de cantos arredondados 2"/>
        <xdr:cNvSpPr/>
      </xdr:nvSpPr>
      <xdr:spPr>
        <a:xfrm>
          <a:off x="4924425" y="762000"/>
          <a:ext cx="8096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11</xdr:col>
      <xdr:colOff>0</xdr:colOff>
      <xdr:row>4</xdr:row>
      <xdr:rowOff>28575</xdr:rowOff>
    </xdr:from>
    <xdr:to>
      <xdr:col>12</xdr:col>
      <xdr:colOff>9525</xdr:colOff>
      <xdr:row>6</xdr:row>
      <xdr:rowOff>66675</xdr:rowOff>
    </xdr:to>
    <xdr:sp macro="" textlink="">
      <xdr:nvSpPr>
        <xdr:cNvPr id="4" name="Retângulo de cantos arredondados 3"/>
        <xdr:cNvSpPr/>
      </xdr:nvSpPr>
      <xdr:spPr>
        <a:xfrm>
          <a:off x="43091100" y="762000"/>
          <a:ext cx="75247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4</xdr:row>
      <xdr:rowOff>57151</xdr:rowOff>
    </xdr:from>
    <xdr:to>
      <xdr:col>2</xdr:col>
      <xdr:colOff>1</xdr:colOff>
      <xdr:row>6</xdr:row>
      <xdr:rowOff>66676</xdr:rowOff>
    </xdr:to>
    <xdr:sp macro="" textlink="">
      <xdr:nvSpPr>
        <xdr:cNvPr id="3" name="Retângulo de cantos arredondados 2"/>
        <xdr:cNvSpPr/>
      </xdr:nvSpPr>
      <xdr:spPr>
        <a:xfrm>
          <a:off x="5400676" y="790576"/>
          <a:ext cx="742950" cy="285750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16</xdr:col>
      <xdr:colOff>0</xdr:colOff>
      <xdr:row>4</xdr:row>
      <xdr:rowOff>28575</xdr:rowOff>
    </xdr:from>
    <xdr:to>
      <xdr:col>17</xdr:col>
      <xdr:colOff>9525</xdr:colOff>
      <xdr:row>6</xdr:row>
      <xdr:rowOff>66675</xdr:rowOff>
    </xdr:to>
    <xdr:sp macro="" textlink="">
      <xdr:nvSpPr>
        <xdr:cNvPr id="5" name="Retângulo de cantos arredondados 3"/>
        <xdr:cNvSpPr/>
      </xdr:nvSpPr>
      <xdr:spPr>
        <a:xfrm>
          <a:off x="41290875" y="762000"/>
          <a:ext cx="9239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0</xdr:colOff>
      <xdr:row>1</xdr:row>
      <xdr:rowOff>114300</xdr:rowOff>
    </xdr:from>
    <xdr:to>
      <xdr:col>0</xdr:col>
      <xdr:colOff>1055955</xdr:colOff>
      <xdr:row>6</xdr:row>
      <xdr:rowOff>19050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0"/>
          <a:ext cx="1055955" cy="7048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28575</xdr:rowOff>
    </xdr:from>
    <xdr:to>
      <xdr:col>2</xdr:col>
      <xdr:colOff>9525</xdr:colOff>
      <xdr:row>6</xdr:row>
      <xdr:rowOff>66675</xdr:rowOff>
    </xdr:to>
    <xdr:sp macro="" textlink="">
      <xdr:nvSpPr>
        <xdr:cNvPr id="3" name="Retângulo de cantos arredondados 2"/>
        <xdr:cNvSpPr/>
      </xdr:nvSpPr>
      <xdr:spPr>
        <a:xfrm>
          <a:off x="5000625" y="762000"/>
          <a:ext cx="8096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16</xdr:col>
      <xdr:colOff>0</xdr:colOff>
      <xdr:row>4</xdr:row>
      <xdr:rowOff>28575</xdr:rowOff>
    </xdr:from>
    <xdr:to>
      <xdr:col>17</xdr:col>
      <xdr:colOff>9525</xdr:colOff>
      <xdr:row>6</xdr:row>
      <xdr:rowOff>66675</xdr:rowOff>
    </xdr:to>
    <xdr:sp macro="" textlink="">
      <xdr:nvSpPr>
        <xdr:cNvPr id="5" name="Retângulo de cantos arredondados 3"/>
        <xdr:cNvSpPr/>
      </xdr:nvSpPr>
      <xdr:spPr>
        <a:xfrm>
          <a:off x="41290875" y="762000"/>
          <a:ext cx="9239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0</xdr:colOff>
      <xdr:row>1</xdr:row>
      <xdr:rowOff>114300</xdr:rowOff>
    </xdr:from>
    <xdr:to>
      <xdr:col>0</xdr:col>
      <xdr:colOff>1055955</xdr:colOff>
      <xdr:row>6</xdr:row>
      <xdr:rowOff>19050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0"/>
          <a:ext cx="1055955" cy="704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28575</xdr:rowOff>
    </xdr:from>
    <xdr:to>
      <xdr:col>3</xdr:col>
      <xdr:colOff>0</xdr:colOff>
      <xdr:row>6</xdr:row>
      <xdr:rowOff>66675</xdr:rowOff>
    </xdr:to>
    <xdr:sp macro="" textlink="">
      <xdr:nvSpPr>
        <xdr:cNvPr id="3" name="Retângulo de cantos arredondados 2"/>
        <xdr:cNvSpPr/>
      </xdr:nvSpPr>
      <xdr:spPr>
        <a:xfrm>
          <a:off x="4924425" y="762000"/>
          <a:ext cx="8096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18</xdr:col>
      <xdr:colOff>0</xdr:colOff>
      <xdr:row>4</xdr:row>
      <xdr:rowOff>28575</xdr:rowOff>
    </xdr:from>
    <xdr:to>
      <xdr:col>19</xdr:col>
      <xdr:colOff>9525</xdr:colOff>
      <xdr:row>6</xdr:row>
      <xdr:rowOff>66675</xdr:rowOff>
    </xdr:to>
    <xdr:sp macro="" textlink="">
      <xdr:nvSpPr>
        <xdr:cNvPr id="5" name="Retângulo de cantos arredondados 3"/>
        <xdr:cNvSpPr/>
      </xdr:nvSpPr>
      <xdr:spPr>
        <a:xfrm>
          <a:off x="41290875" y="762000"/>
          <a:ext cx="923925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0</xdr:colOff>
      <xdr:row>1</xdr:row>
      <xdr:rowOff>123825</xdr:rowOff>
    </xdr:from>
    <xdr:to>
      <xdr:col>0</xdr:col>
      <xdr:colOff>1055955</xdr:colOff>
      <xdr:row>6</xdr:row>
      <xdr:rowOff>28575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325"/>
          <a:ext cx="1055955" cy="7048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57150</xdr:rowOff>
    </xdr:from>
    <xdr:to>
      <xdr:col>1</xdr:col>
      <xdr:colOff>733425</xdr:colOff>
      <xdr:row>6</xdr:row>
      <xdr:rowOff>85725</xdr:rowOff>
    </xdr:to>
    <xdr:sp macro="" textlink="">
      <xdr:nvSpPr>
        <xdr:cNvPr id="2" name="Retângulo de cantos arredondados 1"/>
        <xdr:cNvSpPr/>
      </xdr:nvSpPr>
      <xdr:spPr>
        <a:xfrm>
          <a:off x="5000625" y="790575"/>
          <a:ext cx="657225" cy="304800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16</xdr:col>
      <xdr:colOff>0</xdr:colOff>
      <xdr:row>4</xdr:row>
      <xdr:rowOff>28575</xdr:rowOff>
    </xdr:from>
    <xdr:to>
      <xdr:col>17</xdr:col>
      <xdr:colOff>9525</xdr:colOff>
      <xdr:row>6</xdr:row>
      <xdr:rowOff>66675</xdr:rowOff>
    </xdr:to>
    <xdr:sp macro="" textlink="">
      <xdr:nvSpPr>
        <xdr:cNvPr id="3" name="Retângulo de cantos arredondados 3"/>
        <xdr:cNvSpPr/>
      </xdr:nvSpPr>
      <xdr:spPr>
        <a:xfrm>
          <a:off x="39271575" y="762000"/>
          <a:ext cx="781050" cy="314325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0</xdr:colOff>
      <xdr:row>1</xdr:row>
      <xdr:rowOff>123825</xdr:rowOff>
    </xdr:from>
    <xdr:to>
      <xdr:col>0</xdr:col>
      <xdr:colOff>1055955</xdr:colOff>
      <xdr:row>6</xdr:row>
      <xdr:rowOff>28575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325"/>
          <a:ext cx="1055955" cy="7048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0\1&#186;%20Semestre%20de%202020\1&#186;%20Trimestre%20de%202020\BMB%20-%20Demonstra&#231;&#245;es%20Financeiras%20-%201&#186;%20TRIM-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0\1&#186;%20Semestre%20de%202020\2&#186;%20Trimestre%20de%202020\BMB%20-%20Demonstra&#231;&#245;es%20Financeiras%20-%2030%2006%20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0\2&#186;%20Semestre%20de%202020\3&#186;%20Trimestre\BMB%20-%20Demonstra&#231;&#245;es%20Financeiras%20-%2030%2009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0\2&#186;%20Semestre%20de%202020\4&#186;%20Trimestre\BMB%20-%20Demonstra&#231;&#245;es%20Financeiras%20-%2031%2012%202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1\1&#186;%20semestre%202021\1&#186;%20Trimestre%202021\BMB%20-%20Demonstra&#231;&#245;es%20Financeiras%20-%201&#186;%20TRIM-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1\1&#186;%20semestre%202021\2&#186;%20Trimestre%202021\BMB%20-%20Demonstra&#231;&#245;es%20Financeiras%20-%201&#186;%20SEM-202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1\2&#186;%20semestre%202021\3&#186;%20Trimestre%202021\BMB%20-%20Demonstra&#231;&#245;es%20Financeiras%20-%2030%2009%20202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1\2&#186;%20semestre%202021\4&#186;%20Trimestre%202021\BMB%20-%20Demonstra&#231;&#245;es%20Financeiras%20-%2031%2012%20202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monstra&#231;&#245;es%20Financeiras%20-%20MB\2022\1&#186;%20Semestre\1&#186;%20Trimestre\BMB%20-%20Demonstra&#231;&#245;es%20Financeiras%20-%201%20TRIM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0"/>
      <sheetName val="DRE-BACEN-2020"/>
      <sheetName val="MUT-Bacen-2020"/>
      <sheetName val="DRA"/>
      <sheetName val="DFC "/>
      <sheetName val="DVA "/>
      <sheetName val="Entrada dados DVA"/>
      <sheetName val="===&gt; Planilha suporte"/>
      <sheetName val="BP-CVM-2020"/>
      <sheetName val="DRE-CVM-2020"/>
      <sheetName val="MUT-CVM"/>
      <sheetName val="DRA Reais"/>
      <sheetName val="Extr.DRA"/>
      <sheetName val="BAL B  EM R$  OK"/>
      <sheetName val="DERE - SEM Reais OK"/>
      <sheetName val="BAL B  EM R$ Consolidado"/>
      <sheetName val="DERE - SEM Conso Reais OK"/>
    </sheetNames>
    <sheetDataSet>
      <sheetData sheetId="0">
        <row r="99">
          <cell r="H99">
            <v>2917</v>
          </cell>
        </row>
        <row r="100">
          <cell r="H100">
            <v>-1393</v>
          </cell>
        </row>
        <row r="103">
          <cell r="H103">
            <v>25598</v>
          </cell>
        </row>
        <row r="104">
          <cell r="H104">
            <v>267861</v>
          </cell>
        </row>
        <row r="105">
          <cell r="H105">
            <v>-142970</v>
          </cell>
        </row>
        <row r="108">
          <cell r="H108">
            <v>145002</v>
          </cell>
        </row>
        <row r="109">
          <cell r="H109">
            <v>-88317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0"/>
      <sheetName val="DRE-BACEN-2020"/>
      <sheetName val="DRA"/>
      <sheetName val="MUT-Bacen-2020"/>
      <sheetName val="DFC "/>
      <sheetName val="DVA "/>
      <sheetName val="Entrada dados DVA"/>
      <sheetName val="===&gt; Planilha suporte"/>
      <sheetName val="BP-CVM-2020"/>
      <sheetName val="DRE-CVM-2020"/>
      <sheetName val="MUT-CVM"/>
      <sheetName val="DRA Mil-CVM"/>
      <sheetName val="DRA Reais"/>
      <sheetName val="Extr.DRA"/>
      <sheetName val="BP Múlt. Reais"/>
      <sheetName val="DRE Múlt.-Reais"/>
      <sheetName val="BP CONS. Reais"/>
      <sheetName val="DRE CONS. Reais"/>
    </sheetNames>
    <sheetDataSet>
      <sheetData sheetId="0">
        <row r="99">
          <cell r="H99">
            <v>3041</v>
          </cell>
        </row>
        <row r="100">
          <cell r="H100">
            <v>-1360</v>
          </cell>
        </row>
        <row r="103">
          <cell r="H103">
            <v>29662</v>
          </cell>
        </row>
        <row r="104">
          <cell r="H104">
            <v>296556</v>
          </cell>
        </row>
        <row r="105">
          <cell r="H105">
            <v>-149900</v>
          </cell>
        </row>
        <row r="108">
          <cell r="H108">
            <v>151732</v>
          </cell>
        </row>
        <row r="109">
          <cell r="H109">
            <v>-92827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0"/>
      <sheetName val="DRE-BACEN-2020"/>
      <sheetName val="DRA"/>
      <sheetName val="MUT-Bacen-2020"/>
      <sheetName val="DFC "/>
      <sheetName val="DVA "/>
      <sheetName val="Entrada dados DVA"/>
      <sheetName val="===&gt; Planilha suporte"/>
      <sheetName val="BP-CVM-2020"/>
      <sheetName val="DRE-CVM-2020"/>
      <sheetName val="MUT-CVM"/>
      <sheetName val="BP-CVM-2020-O.Liquidez"/>
      <sheetName val="DRE-CVM-NOVO"/>
      <sheetName val="DRA Mil-CVM"/>
      <sheetName val="DRA Reais"/>
      <sheetName val="Extr.DRA"/>
      <sheetName val="BP Múlt. Reais"/>
      <sheetName val="DRE Múlt.-Reais"/>
      <sheetName val="BP CONS. Reais"/>
      <sheetName val="DRE CONS. Reais"/>
    </sheetNames>
    <sheetDataSet>
      <sheetData sheetId="0">
        <row r="99">
          <cell r="G99">
            <v>3276</v>
          </cell>
        </row>
        <row r="100">
          <cell r="G100">
            <v>-1370</v>
          </cell>
        </row>
        <row r="103">
          <cell r="G103">
            <v>25672</v>
          </cell>
        </row>
        <row r="104">
          <cell r="G104">
            <v>304258</v>
          </cell>
        </row>
        <row r="105">
          <cell r="G105">
            <v>-156867</v>
          </cell>
        </row>
        <row r="108">
          <cell r="G108">
            <v>164333</v>
          </cell>
        </row>
        <row r="109">
          <cell r="G109">
            <v>-97438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0"/>
      <sheetName val="DRE-BACEN-2020"/>
      <sheetName val="DRA"/>
      <sheetName val="MUT-Bacen-2020"/>
      <sheetName val="DFC "/>
      <sheetName val="DVA "/>
      <sheetName val="Entrada dados DVA"/>
      <sheetName val="===&gt; Planilha suporte"/>
      <sheetName val="BP-CVM-2020"/>
      <sheetName val="DRE-CVM-2020"/>
      <sheetName val="DRA Mil-CVM"/>
      <sheetName val="DRA Reais"/>
      <sheetName val="Extr.DRA"/>
      <sheetName val="BALANÇO Múlt. R$"/>
      <sheetName val="DRE Múlt.-R$"/>
      <sheetName val="BALANÇO CONS. R$"/>
      <sheetName val="DRE CONS. R$"/>
      <sheetName val="BP-CVM-2020-O.Liquidez"/>
      <sheetName val="Rec.Prest.Serv."/>
      <sheetName val="PDDxBx.Pass.Cont."/>
    </sheetNames>
    <sheetDataSet>
      <sheetData sheetId="0">
        <row r="101">
          <cell r="H101">
            <v>3496</v>
          </cell>
        </row>
        <row r="102">
          <cell r="H102">
            <v>-1384</v>
          </cell>
        </row>
        <row r="105">
          <cell r="H105">
            <v>23922</v>
          </cell>
        </row>
        <row r="106">
          <cell r="H106">
            <v>316807</v>
          </cell>
        </row>
        <row r="107">
          <cell r="H107">
            <v>-164576</v>
          </cell>
        </row>
        <row r="110">
          <cell r="H110">
            <v>171408</v>
          </cell>
        </row>
        <row r="111">
          <cell r="H111">
            <v>-102146</v>
          </cell>
        </row>
      </sheetData>
      <sheetData sheetId="1">
        <row r="12">
          <cell r="K12">
            <v>1913802</v>
          </cell>
        </row>
        <row r="13">
          <cell r="K13">
            <v>109416</v>
          </cell>
        </row>
        <row r="14">
          <cell r="K14">
            <v>117040</v>
          </cell>
        </row>
        <row r="15">
          <cell r="K15">
            <v>33728</v>
          </cell>
        </row>
        <row r="16">
          <cell r="K16">
            <v>2597</v>
          </cell>
        </row>
        <row r="17">
          <cell r="K17">
            <v>124142</v>
          </cell>
        </row>
        <row r="20">
          <cell r="K20">
            <v>-422504</v>
          </cell>
        </row>
        <row r="21">
          <cell r="K21">
            <v>-11774</v>
          </cell>
        </row>
        <row r="23">
          <cell r="K23">
            <v>-3085</v>
          </cell>
        </row>
        <row r="27">
          <cell r="K27">
            <v>-326310</v>
          </cell>
        </row>
        <row r="33">
          <cell r="K33">
            <v>96522</v>
          </cell>
        </row>
        <row r="34">
          <cell r="K34">
            <v>221877</v>
          </cell>
        </row>
        <row r="38">
          <cell r="K38">
            <v>-458854</v>
          </cell>
        </row>
        <row r="39">
          <cell r="K39">
            <v>-683853</v>
          </cell>
        </row>
        <row r="40">
          <cell r="K40">
            <v>-117806</v>
          </cell>
        </row>
        <row r="41">
          <cell r="K41">
            <v>52238</v>
          </cell>
        </row>
        <row r="46">
          <cell r="K46">
            <v>-401965</v>
          </cell>
        </row>
        <row r="59">
          <cell r="K59">
            <v>56653</v>
          </cell>
        </row>
        <row r="60">
          <cell r="K60">
            <v>-72684</v>
          </cell>
        </row>
        <row r="65">
          <cell r="K65">
            <v>-9968</v>
          </cell>
        </row>
        <row r="66">
          <cell r="K66">
            <v>-5126</v>
          </cell>
        </row>
        <row r="67">
          <cell r="K67">
            <v>-35293</v>
          </cell>
        </row>
        <row r="70">
          <cell r="K70">
            <v>-2290</v>
          </cell>
        </row>
        <row r="71">
          <cell r="K71">
            <v>-23148</v>
          </cell>
        </row>
        <row r="73">
          <cell r="K73">
            <v>-2307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1"/>
      <sheetName val="DRE-BACEN-2021"/>
      <sheetName val="DRA"/>
      <sheetName val="MUT-Bacen-2021"/>
      <sheetName val="DFC "/>
      <sheetName val="DVA "/>
      <sheetName val="Entrada dados DVA"/>
      <sheetName val="===&gt; Planilha suporte"/>
      <sheetName val="BP-CVM-2021"/>
      <sheetName val="DRE-CVM-2021"/>
      <sheetName val="DRA Reais"/>
      <sheetName val="Extr.DRA"/>
      <sheetName val="BAL B  EM R$  OK"/>
      <sheetName val="DERE - SEM Reais OK"/>
      <sheetName val="BAL B  EM R$ Consolidado"/>
      <sheetName val="DERE - SEM Conso Reais OK"/>
    </sheetNames>
    <sheetDataSet>
      <sheetData sheetId="0">
        <row r="95">
          <cell r="H95">
            <v>3629</v>
          </cell>
        </row>
        <row r="96">
          <cell r="H96">
            <v>-1366</v>
          </cell>
        </row>
        <row r="99">
          <cell r="H99">
            <v>27857</v>
          </cell>
        </row>
        <row r="100">
          <cell r="H100">
            <v>325295</v>
          </cell>
        </row>
        <row r="101">
          <cell r="H101">
            <v>-173076</v>
          </cell>
        </row>
        <row r="104">
          <cell r="H104">
            <v>176916</v>
          </cell>
        </row>
        <row r="105">
          <cell r="H105">
            <v>-107125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1"/>
      <sheetName val="DRE-BACEN-2021"/>
      <sheetName val="DRA"/>
      <sheetName val="MUT-Bacen-2021"/>
      <sheetName val="DFC "/>
      <sheetName val="DVA "/>
      <sheetName val="Entrada dados DVA"/>
      <sheetName val="===&gt; Planilha suporte"/>
      <sheetName val="BP-CVM-2021"/>
      <sheetName val="DRE-CVM-2021"/>
      <sheetName val="DRA Reais"/>
      <sheetName val="Extr.DRA"/>
      <sheetName val="BP Múlt. Reais"/>
      <sheetName val="BP Múlt.xDOMO"/>
      <sheetName val="DRE Múlt.-Reais"/>
      <sheetName val="DRE Múlt.-Reais-AJUSTADA"/>
      <sheetName val="BP CONS. Reais"/>
      <sheetName val="DRE CONS. Reais"/>
      <sheetName val="DRE CONS.Ajustada"/>
    </sheetNames>
    <sheetDataSet>
      <sheetData sheetId="0">
        <row r="95">
          <cell r="G95">
            <v>3881</v>
          </cell>
        </row>
        <row r="96">
          <cell r="G96">
            <v>-1393</v>
          </cell>
        </row>
        <row r="99">
          <cell r="G99">
            <v>27857</v>
          </cell>
        </row>
        <row r="100">
          <cell r="G100">
            <v>336850</v>
          </cell>
        </row>
        <row r="101">
          <cell r="G101">
            <v>-181929</v>
          </cell>
        </row>
        <row r="104">
          <cell r="G104">
            <v>179319</v>
          </cell>
        </row>
        <row r="105">
          <cell r="G105">
            <v>-109653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1"/>
      <sheetName val="DRE-BACEN-2021"/>
      <sheetName val="DRA"/>
      <sheetName val="DMPL"/>
      <sheetName val="DFC "/>
      <sheetName val="DVA "/>
      <sheetName val="Entrada dados DVA"/>
      <sheetName val="===&gt; Planilha suporte"/>
      <sheetName val="BP-CVM-2021"/>
      <sheetName val="DRE-CVM-2021"/>
      <sheetName val="DRA Reais"/>
      <sheetName val="Extr.DRA-21"/>
      <sheetName val="BP Múlt. Reais"/>
      <sheetName val="BP Múlt.xDOMO"/>
      <sheetName val="DRE Múlt.-Reais"/>
      <sheetName val="BP CONS. Reais"/>
      <sheetName val="DRE CONS. Reais"/>
    </sheetNames>
    <sheetDataSet>
      <sheetData sheetId="0">
        <row r="95">
          <cell r="H95">
            <v>3864</v>
          </cell>
        </row>
        <row r="96">
          <cell r="H96">
            <v>-1400</v>
          </cell>
        </row>
        <row r="99">
          <cell r="H99">
            <v>27823</v>
          </cell>
        </row>
        <row r="100">
          <cell r="H100">
            <v>342553</v>
          </cell>
        </row>
        <row r="101">
          <cell r="H101">
            <v>-191481</v>
          </cell>
        </row>
        <row r="104">
          <cell r="H104">
            <v>197280</v>
          </cell>
        </row>
        <row r="105">
          <cell r="H105">
            <v>-115095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1"/>
      <sheetName val="DRE-BACEN-2021"/>
      <sheetName val="DRA"/>
      <sheetName val="DMPL"/>
      <sheetName val="DFC "/>
      <sheetName val="DVA "/>
      <sheetName val="Entrada dados DVA"/>
      <sheetName val="===&gt; Planilha suporte"/>
      <sheetName val="BP-CVM-2021"/>
      <sheetName val="DRE-CVM-2021"/>
      <sheetName val="DRA Reais"/>
      <sheetName val="Extr.DRA-21"/>
      <sheetName val="BP Múlt. Reais"/>
      <sheetName val="BP Múlt.xDOMO"/>
      <sheetName val="DRE Múlt.-Reais"/>
      <sheetName val="BP CONS. Reais"/>
      <sheetName val="DRE CONS. Reais"/>
    </sheetNames>
    <sheetDataSet>
      <sheetData sheetId="0">
        <row r="98">
          <cell r="H98">
            <v>4094</v>
          </cell>
        </row>
        <row r="99">
          <cell r="H99">
            <v>-1405</v>
          </cell>
        </row>
        <row r="107">
          <cell r="H107">
            <v>196129</v>
          </cell>
        </row>
        <row r="108">
          <cell r="H108">
            <v>-114409</v>
          </cell>
        </row>
      </sheetData>
      <sheetData sheetId="1">
        <row r="12">
          <cell r="L12">
            <v>2301215</v>
          </cell>
        </row>
        <row r="13">
          <cell r="L13">
            <v>99743</v>
          </cell>
        </row>
        <row r="14">
          <cell r="L14">
            <v>41506</v>
          </cell>
        </row>
        <row r="15">
          <cell r="L15">
            <v>14170</v>
          </cell>
        </row>
        <row r="16">
          <cell r="L16">
            <v>3636</v>
          </cell>
        </row>
        <row r="17">
          <cell r="L17">
            <v>146235</v>
          </cell>
        </row>
        <row r="20">
          <cell r="L20">
            <v>-369510</v>
          </cell>
        </row>
        <row r="21">
          <cell r="L21">
            <v>-443</v>
          </cell>
        </row>
        <row r="23">
          <cell r="L23">
            <v>-2823</v>
          </cell>
        </row>
        <row r="26">
          <cell r="L26">
            <v>-344697</v>
          </cell>
        </row>
        <row r="32">
          <cell r="L32">
            <v>165402</v>
          </cell>
        </row>
        <row r="33">
          <cell r="L33">
            <v>187192</v>
          </cell>
        </row>
        <row r="37">
          <cell r="L37">
            <v>-500440</v>
          </cell>
        </row>
        <row r="38">
          <cell r="L38">
            <v>-851450</v>
          </cell>
        </row>
        <row r="39">
          <cell r="L39">
            <v>-148498</v>
          </cell>
        </row>
        <row r="40">
          <cell r="L40">
            <v>91938</v>
          </cell>
        </row>
        <row r="45">
          <cell r="L45">
            <v>-669303</v>
          </cell>
        </row>
        <row r="58">
          <cell r="L58">
            <v>22140</v>
          </cell>
        </row>
        <row r="59">
          <cell r="L59">
            <v>-18649</v>
          </cell>
        </row>
        <row r="64">
          <cell r="L64">
            <v>-4249</v>
          </cell>
        </row>
        <row r="65">
          <cell r="L65">
            <v>-548</v>
          </cell>
        </row>
        <row r="66">
          <cell r="L66">
            <v>59083</v>
          </cell>
        </row>
        <row r="69">
          <cell r="L69">
            <v>-5212</v>
          </cell>
        </row>
        <row r="70">
          <cell r="L70">
            <v>-29075</v>
          </cell>
        </row>
        <row r="72">
          <cell r="L72">
            <v>-2876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-BACEN-2022"/>
      <sheetName val="DRE-BACEN-2022"/>
      <sheetName val="DRA"/>
      <sheetName val="DMPL"/>
      <sheetName val="DFC "/>
      <sheetName val="DVA "/>
      <sheetName val="Entrada dados DVA"/>
      <sheetName val="===&gt; Planilha suporte"/>
      <sheetName val="BP-CVM-2022"/>
      <sheetName val="DRE-CVM-2022"/>
      <sheetName val="DRA Reais"/>
      <sheetName val="Extr.DRA-22"/>
      <sheetName val="BP Múlt. Reais"/>
      <sheetName val="BP Múlt.xDOMO"/>
      <sheetName val="DRE Múlt.-Reais"/>
      <sheetName val="BP CONS. Reais"/>
      <sheetName val="DRE CONS. Reais"/>
    </sheetNames>
    <sheetDataSet>
      <sheetData sheetId="0">
        <row r="94">
          <cell r="H94">
            <v>4821</v>
          </cell>
        </row>
        <row r="95">
          <cell r="H95">
            <v>-1449</v>
          </cell>
        </row>
        <row r="98">
          <cell r="H98">
            <v>9547</v>
          </cell>
          <cell r="I98">
            <v>9547</v>
          </cell>
        </row>
        <row r="99">
          <cell r="H99">
            <v>-731</v>
          </cell>
          <cell r="I99">
            <v>-666</v>
          </cell>
        </row>
        <row r="102">
          <cell r="H102">
            <v>18309</v>
          </cell>
          <cell r="I102">
            <v>18309</v>
          </cell>
        </row>
        <row r="103">
          <cell r="H103">
            <v>341987</v>
          </cell>
          <cell r="I103">
            <v>342772</v>
          </cell>
        </row>
        <row r="104">
          <cell r="H104">
            <v>-206852</v>
          </cell>
          <cell r="I104">
            <v>-198190</v>
          </cell>
        </row>
        <row r="107">
          <cell r="H107">
            <v>202392</v>
          </cell>
        </row>
        <row r="108">
          <cell r="H108">
            <v>-121134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H36"/>
  <sheetViews>
    <sheetView showGridLines="0" tabSelected="1" workbookViewId="0">
      <selection activeCell="I9" sqref="I9"/>
    </sheetView>
  </sheetViews>
  <sheetFormatPr defaultColWidth="9.1796875" defaultRowHeight="16" x14ac:dyDescent="0.45"/>
  <cols>
    <col min="1" max="1" width="7.26953125" style="56" customWidth="1"/>
    <col min="2" max="2" width="2.54296875" style="56" customWidth="1"/>
    <col min="3" max="3" width="20.7265625" style="56" customWidth="1"/>
    <col min="4" max="4" width="9.453125" style="56" customWidth="1"/>
    <col min="5" max="5" width="9.1796875" style="56"/>
    <col min="6" max="6" width="2.7265625" style="56" customWidth="1"/>
    <col min="7" max="16384" width="9.1796875" style="56"/>
  </cols>
  <sheetData>
    <row r="1" spans="1:8" ht="19.5" customHeight="1" x14ac:dyDescent="0.45">
      <c r="A1" s="53"/>
      <c r="B1" s="53"/>
      <c r="C1" s="53"/>
      <c r="D1" s="53"/>
      <c r="E1" s="53"/>
      <c r="F1" s="53"/>
      <c r="G1" s="53"/>
      <c r="H1" s="53"/>
    </row>
    <row r="2" spans="1:8" ht="16.5" x14ac:dyDescent="0.45">
      <c r="A2" s="53"/>
      <c r="B2" s="53"/>
      <c r="C2" s="53"/>
      <c r="D2" s="53"/>
      <c r="E2" s="53"/>
      <c r="F2" s="53"/>
      <c r="G2" s="53"/>
      <c r="H2" s="53"/>
    </row>
    <row r="3" spans="1:8" ht="16.5" x14ac:dyDescent="0.45">
      <c r="A3" s="53"/>
      <c r="B3" s="53"/>
      <c r="C3" s="53"/>
      <c r="D3" s="53"/>
      <c r="E3" s="53"/>
      <c r="F3" s="53"/>
      <c r="G3" s="53"/>
      <c r="H3" s="53"/>
    </row>
    <row r="4" spans="1:8" ht="16.5" x14ac:dyDescent="0.45">
      <c r="A4" s="53"/>
      <c r="B4" s="53"/>
      <c r="C4" s="53"/>
      <c r="D4" s="53"/>
      <c r="E4" s="53"/>
      <c r="F4" s="53"/>
      <c r="G4" s="53"/>
      <c r="H4" s="53"/>
    </row>
    <row r="5" spans="1:8" ht="16.5" x14ac:dyDescent="0.45">
      <c r="A5" s="53"/>
      <c r="B5" s="53"/>
      <c r="C5" s="53"/>
      <c r="D5" s="53"/>
      <c r="E5" s="53"/>
      <c r="F5" s="53"/>
      <c r="G5" s="53"/>
      <c r="H5" s="53"/>
    </row>
    <row r="6" spans="1:8" ht="16.5" x14ac:dyDescent="0.45">
      <c r="A6" s="53"/>
      <c r="B6" s="53"/>
      <c r="C6" s="53"/>
      <c r="D6" s="53"/>
      <c r="E6" s="53"/>
      <c r="F6" s="53"/>
      <c r="G6" s="53"/>
      <c r="H6" s="53"/>
    </row>
    <row r="7" spans="1:8" ht="16.5" x14ac:dyDescent="0.45">
      <c r="A7" s="53"/>
      <c r="B7" s="53"/>
      <c r="C7" s="53"/>
      <c r="D7" s="53"/>
      <c r="E7" s="53"/>
      <c r="F7" s="53"/>
      <c r="G7" s="53"/>
      <c r="H7" s="53"/>
    </row>
    <row r="8" spans="1:8" ht="16.5" x14ac:dyDescent="0.45">
      <c r="A8" s="53"/>
      <c r="B8" s="53"/>
      <c r="C8" s="53"/>
      <c r="D8" s="53"/>
      <c r="E8" s="53"/>
      <c r="F8" s="53"/>
      <c r="G8" s="53"/>
      <c r="H8" s="53"/>
    </row>
    <row r="9" spans="1:8" ht="16.5" x14ac:dyDescent="0.45">
      <c r="A9" s="53"/>
      <c r="B9" s="177" t="s">
        <v>121</v>
      </c>
      <c r="C9" s="177"/>
      <c r="D9" s="177"/>
      <c r="E9" s="177"/>
      <c r="F9" s="177"/>
      <c r="G9" s="177"/>
      <c r="H9" s="53"/>
    </row>
    <row r="10" spans="1:8" ht="16.5" x14ac:dyDescent="0.45">
      <c r="A10" s="53"/>
      <c r="B10" s="53"/>
      <c r="C10" s="53"/>
      <c r="D10" s="53"/>
      <c r="E10" s="53"/>
      <c r="F10" s="53"/>
      <c r="G10" s="53"/>
      <c r="H10" s="53"/>
    </row>
    <row r="11" spans="1:8" ht="16.5" x14ac:dyDescent="0.45">
      <c r="A11" s="53"/>
      <c r="B11" s="175" t="s">
        <v>13</v>
      </c>
      <c r="C11" s="54"/>
      <c r="D11" s="53"/>
      <c r="E11" s="53"/>
      <c r="F11" s="53"/>
      <c r="G11" s="53"/>
      <c r="H11" s="53"/>
    </row>
    <row r="13" spans="1:8" x14ac:dyDescent="0.45">
      <c r="B13" s="56" t="s">
        <v>11</v>
      </c>
    </row>
    <row r="15" spans="1:8" x14ac:dyDescent="0.45">
      <c r="B15" s="57" t="s">
        <v>0</v>
      </c>
      <c r="C15" s="58" t="s">
        <v>4</v>
      </c>
    </row>
    <row r="16" spans="1:8" ht="8.25" customHeight="1" x14ac:dyDescent="0.45">
      <c r="B16" s="57"/>
      <c r="C16" s="58"/>
    </row>
    <row r="17" spans="1:8" x14ac:dyDescent="0.45">
      <c r="B17" s="57" t="s">
        <v>1</v>
      </c>
      <c r="C17" s="58" t="s">
        <v>370</v>
      </c>
    </row>
    <row r="18" spans="1:8" ht="8.25" customHeight="1" x14ac:dyDescent="0.45">
      <c r="B18" s="57"/>
      <c r="C18" s="58"/>
    </row>
    <row r="19" spans="1:8" x14ac:dyDescent="0.45">
      <c r="B19" s="57" t="s">
        <v>2</v>
      </c>
      <c r="C19" s="58" t="s">
        <v>164</v>
      </c>
    </row>
    <row r="20" spans="1:8" ht="8.25" customHeight="1" x14ac:dyDescent="0.45">
      <c r="B20" s="57"/>
      <c r="C20" s="58"/>
    </row>
    <row r="21" spans="1:8" x14ac:dyDescent="0.45">
      <c r="B21" s="57" t="s">
        <v>3</v>
      </c>
      <c r="C21" s="58" t="s">
        <v>6</v>
      </c>
    </row>
    <row r="22" spans="1:8" ht="8.25" customHeight="1" x14ac:dyDescent="0.45">
      <c r="B22" s="57"/>
      <c r="C22" s="58"/>
    </row>
    <row r="23" spans="1:8" x14ac:dyDescent="0.45">
      <c r="B23" s="57" t="s">
        <v>7</v>
      </c>
      <c r="C23" s="58" t="s">
        <v>120</v>
      </c>
    </row>
    <row r="24" spans="1:8" ht="8.25" customHeight="1" x14ac:dyDescent="0.45">
      <c r="B24" s="57"/>
      <c r="C24" s="58"/>
    </row>
    <row r="25" spans="1:8" x14ac:dyDescent="0.45">
      <c r="B25" s="57" t="s">
        <v>8</v>
      </c>
      <c r="C25" s="58" t="s">
        <v>108</v>
      </c>
    </row>
    <row r="26" spans="1:8" ht="8.25" customHeight="1" x14ac:dyDescent="0.45">
      <c r="B26" s="57"/>
      <c r="C26" s="58"/>
    </row>
    <row r="27" spans="1:8" x14ac:dyDescent="0.45">
      <c r="B27" s="57" t="s">
        <v>9</v>
      </c>
      <c r="C27" s="58" t="s">
        <v>369</v>
      </c>
    </row>
    <row r="28" spans="1:8" ht="8.25" customHeight="1" x14ac:dyDescent="0.45">
      <c r="B28" s="57"/>
      <c r="C28" s="58"/>
    </row>
    <row r="29" spans="1:8" x14ac:dyDescent="0.45">
      <c r="A29" s="59"/>
      <c r="B29" s="59"/>
      <c r="C29" s="59"/>
      <c r="D29" s="59"/>
      <c r="E29" s="59"/>
      <c r="F29" s="59"/>
      <c r="G29" s="59"/>
      <c r="H29" s="59"/>
    </row>
    <row r="30" spans="1:8" x14ac:dyDescent="0.45">
      <c r="B30" s="60"/>
      <c r="C30" s="58"/>
      <c r="D30" s="60"/>
      <c r="E30" s="60"/>
      <c r="F30" s="60"/>
      <c r="G30" s="60"/>
    </row>
    <row r="31" spans="1:8" x14ac:dyDescent="0.45">
      <c r="B31" s="60"/>
      <c r="C31" s="58"/>
      <c r="D31" s="60"/>
      <c r="E31" s="60"/>
      <c r="F31" s="60"/>
      <c r="G31" s="60"/>
    </row>
    <row r="32" spans="1:8" x14ac:dyDescent="0.45">
      <c r="B32" s="60"/>
      <c r="C32" s="58"/>
      <c r="D32" s="60"/>
      <c r="E32" s="60"/>
      <c r="F32" s="60"/>
      <c r="G32" s="60"/>
    </row>
    <row r="33" spans="2:4" ht="16.5" customHeight="1" x14ac:dyDescent="0.45">
      <c r="B33" s="56" t="s">
        <v>10</v>
      </c>
      <c r="C33" s="58"/>
    </row>
    <row r="34" spans="2:4" ht="6" customHeight="1" x14ac:dyDescent="0.45">
      <c r="C34" s="58"/>
    </row>
    <row r="35" spans="2:4" ht="16.5" thickBot="1" x14ac:dyDescent="0.5">
      <c r="B35" s="56" t="s">
        <v>14</v>
      </c>
      <c r="C35" s="61"/>
      <c r="D35" s="59"/>
    </row>
    <row r="36" spans="2:4" ht="16.5" thickTop="1" x14ac:dyDescent="0.45"/>
  </sheetData>
  <mergeCells count="1">
    <mergeCell ref="B9:G9"/>
  </mergeCells>
  <hyperlinks>
    <hyperlink ref="C15" location="'Balanço Patrimonial'!A1" display="Balanço Patrimonial"/>
    <hyperlink ref="C17" location="'DRE Trimestral'!A1" display="DRE Contábil"/>
    <hyperlink ref="C21" location="Captação!A1" display="Captação"/>
    <hyperlink ref="C23" location="Gerenciamento_Capital!A1" display="Gerenciamento de Capital"/>
    <hyperlink ref="C19" location="'DRE Anual'!A1" display="DRE Contábil (Anual)"/>
    <hyperlink ref="C25" location="'Dividendos e JCP'!A1" display="Dividendos e JCP"/>
    <hyperlink ref="C27" location="'Notas Explicativas'!A1" display="Notas Explicativas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Y144"/>
  <sheetViews>
    <sheetView showGridLines="0" zoomScaleNormal="100" workbookViewId="0">
      <pane xSplit="1" ySplit="9" topLeftCell="F10" activePane="bottomRight" state="frozen"/>
      <selection activeCell="C8" sqref="C8"/>
      <selection pane="topRight" activeCell="C8" sqref="C8"/>
      <selection pane="bottomLeft" activeCell="C8" sqref="C8"/>
      <selection pane="bottomRight" activeCell="L8" sqref="L8"/>
    </sheetView>
  </sheetViews>
  <sheetFormatPr defaultColWidth="9.1796875" defaultRowHeight="16" x14ac:dyDescent="0.45"/>
  <cols>
    <col min="1" max="1" width="60.81640625" style="59" customWidth="1"/>
    <col min="2" max="2" width="14.54296875" style="59" bestFit="1" customWidth="1"/>
    <col min="3" max="3" width="14.26953125" style="59" bestFit="1" customWidth="1"/>
    <col min="4" max="4" width="14" style="59" bestFit="1" customWidth="1"/>
    <col min="5" max="5" width="14.26953125" style="59" bestFit="1" customWidth="1"/>
    <col min="6" max="6" width="14.54296875" style="59" bestFit="1" customWidth="1"/>
    <col min="7" max="8" width="14.26953125" style="59" bestFit="1" customWidth="1"/>
    <col min="9" max="11" width="14.54296875" style="59" bestFit="1" customWidth="1"/>
    <col min="12" max="12" width="12.7265625" style="59" bestFit="1" customWidth="1"/>
    <col min="13" max="18" width="12" style="59" customWidth="1"/>
    <col min="19" max="25" width="9.26953125" style="59" bestFit="1" customWidth="1"/>
    <col min="26" max="16384" width="9.1796875" style="59"/>
  </cols>
  <sheetData>
    <row r="1" spans="1:25" x14ac:dyDescent="0.45">
      <c r="R1" s="62"/>
    </row>
    <row r="2" spans="1:25" ht="16.5" x14ac:dyDescent="0.45">
      <c r="A2" s="92" t="s">
        <v>165</v>
      </c>
      <c r="R2" s="62"/>
    </row>
    <row r="3" spans="1:25" ht="6.75" customHeight="1" x14ac:dyDescent="0.45">
      <c r="A3" s="91"/>
      <c r="R3" s="62"/>
    </row>
    <row r="4" spans="1:25" ht="16.5" x14ac:dyDescent="0.45">
      <c r="A4" s="92" t="s">
        <v>13</v>
      </c>
      <c r="R4" s="62"/>
    </row>
    <row r="5" spans="1:25" ht="6.75" customHeight="1" x14ac:dyDescent="0.45">
      <c r="A5" s="55"/>
      <c r="R5" s="62"/>
    </row>
    <row r="6" spans="1:25" ht="16.5" x14ac:dyDescent="0.45">
      <c r="A6" s="93"/>
      <c r="C6" s="63" t="s">
        <v>15</v>
      </c>
      <c r="N6" s="63"/>
      <c r="O6" s="63"/>
      <c r="R6" s="63" t="s">
        <v>15</v>
      </c>
    </row>
    <row r="7" spans="1:25" ht="17.25" customHeight="1" x14ac:dyDescent="0.45">
      <c r="A7" s="174" t="s">
        <v>398</v>
      </c>
      <c r="R7" s="62"/>
    </row>
    <row r="8" spans="1:25" x14ac:dyDescent="0.45">
      <c r="A8" s="62" t="s">
        <v>211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R8" s="62"/>
    </row>
    <row r="9" spans="1:25" x14ac:dyDescent="0.45">
      <c r="A9" s="64"/>
      <c r="B9" s="65">
        <v>43891</v>
      </c>
      <c r="C9" s="65">
        <f>EDATE(B9,3)</f>
        <v>43983</v>
      </c>
      <c r="D9" s="65">
        <f>EDATE(C9,3)</f>
        <v>44075</v>
      </c>
      <c r="E9" s="65">
        <f t="shared" ref="E9:Y9" si="0">EDATE(D9,3)</f>
        <v>44166</v>
      </c>
      <c r="F9" s="65">
        <f t="shared" si="0"/>
        <v>44256</v>
      </c>
      <c r="G9" s="65">
        <f t="shared" si="0"/>
        <v>44348</v>
      </c>
      <c r="H9" s="65">
        <f t="shared" si="0"/>
        <v>44440</v>
      </c>
      <c r="I9" s="65">
        <f t="shared" si="0"/>
        <v>44531</v>
      </c>
      <c r="J9" s="65">
        <f t="shared" si="0"/>
        <v>44621</v>
      </c>
      <c r="K9" s="65">
        <f t="shared" si="0"/>
        <v>44713</v>
      </c>
      <c r="L9" s="65">
        <f t="shared" si="0"/>
        <v>44805</v>
      </c>
      <c r="M9" s="65">
        <f t="shared" si="0"/>
        <v>44896</v>
      </c>
      <c r="N9" s="65">
        <f t="shared" si="0"/>
        <v>44986</v>
      </c>
      <c r="O9" s="65">
        <f t="shared" si="0"/>
        <v>45078</v>
      </c>
      <c r="P9" s="65">
        <f t="shared" si="0"/>
        <v>45170</v>
      </c>
      <c r="Q9" s="65">
        <f t="shared" si="0"/>
        <v>45261</v>
      </c>
      <c r="R9" s="65">
        <f t="shared" si="0"/>
        <v>45352</v>
      </c>
      <c r="S9" s="65">
        <f t="shared" si="0"/>
        <v>45444</v>
      </c>
      <c r="T9" s="65">
        <f t="shared" si="0"/>
        <v>45536</v>
      </c>
      <c r="U9" s="65">
        <f t="shared" si="0"/>
        <v>45627</v>
      </c>
      <c r="V9" s="65">
        <f t="shared" si="0"/>
        <v>45717</v>
      </c>
      <c r="W9" s="65">
        <f t="shared" si="0"/>
        <v>45809</v>
      </c>
      <c r="X9" s="65">
        <f t="shared" si="0"/>
        <v>45901</v>
      </c>
      <c r="Y9" s="65">
        <f t="shared" si="0"/>
        <v>45992</v>
      </c>
    </row>
    <row r="10" spans="1:25" x14ac:dyDescent="0.45">
      <c r="A10" s="66" t="s">
        <v>123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</row>
    <row r="11" spans="1:25" ht="6" customHeight="1" x14ac:dyDescent="0.45">
      <c r="A11" s="68" t="s">
        <v>122</v>
      </c>
    </row>
    <row r="12" spans="1:25" x14ac:dyDescent="0.45">
      <c r="A12" s="66" t="s">
        <v>365</v>
      </c>
      <c r="B12" s="69">
        <v>792464</v>
      </c>
      <c r="C12" s="69">
        <v>1282130</v>
      </c>
      <c r="D12" s="69">
        <v>1361815</v>
      </c>
      <c r="E12" s="69">
        <v>1426303</v>
      </c>
      <c r="F12" s="69">
        <v>987478</v>
      </c>
      <c r="G12" s="69">
        <v>1248637</v>
      </c>
      <c r="H12" s="69">
        <v>1252750</v>
      </c>
      <c r="I12" s="69">
        <v>984733</v>
      </c>
      <c r="J12" s="69">
        <v>721294</v>
      </c>
      <c r="K12" s="69">
        <v>1155540</v>
      </c>
      <c r="L12" s="69">
        <v>1035929</v>
      </c>
      <c r="M12" s="69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0</v>
      </c>
      <c r="W12" s="69">
        <v>0</v>
      </c>
      <c r="X12" s="69">
        <v>0</v>
      </c>
      <c r="Y12" s="69">
        <v>0</v>
      </c>
    </row>
    <row r="13" spans="1:25" ht="6" customHeight="1" x14ac:dyDescent="0.45">
      <c r="A13" s="68"/>
    </row>
    <row r="14" spans="1:25" x14ac:dyDescent="0.45">
      <c r="A14" s="66" t="s">
        <v>307</v>
      </c>
      <c r="B14" s="70">
        <f>SUM(B15:B16)+B20+B21+B25+B27+B31</f>
        <v>7801274</v>
      </c>
      <c r="C14" s="70">
        <f t="shared" ref="C14:Y14" si="1">SUM(C15:C16)+C20+C21+C25+C27+C31</f>
        <v>7865738</v>
      </c>
      <c r="D14" s="70">
        <f t="shared" si="1"/>
        <v>7217537</v>
      </c>
      <c r="E14" s="70">
        <f t="shared" si="1"/>
        <v>7825137</v>
      </c>
      <c r="F14" s="70">
        <f t="shared" si="1"/>
        <v>8217311</v>
      </c>
      <c r="G14" s="70">
        <f>SUM(G15:G16)+G20+G21+G25+G27+G31</f>
        <v>8713462</v>
      </c>
      <c r="H14" s="70">
        <f t="shared" si="1"/>
        <v>9362915</v>
      </c>
      <c r="I14" s="70">
        <f t="shared" si="1"/>
        <v>10042686</v>
      </c>
      <c r="J14" s="70">
        <f t="shared" si="1"/>
        <v>10958952</v>
      </c>
      <c r="K14" s="70">
        <f t="shared" si="1"/>
        <v>11832427</v>
      </c>
      <c r="L14" s="70">
        <f t="shared" si="1"/>
        <v>11951103</v>
      </c>
      <c r="M14" s="70">
        <f t="shared" si="1"/>
        <v>0</v>
      </c>
      <c r="N14" s="70">
        <f t="shared" si="1"/>
        <v>0</v>
      </c>
      <c r="O14" s="70">
        <f t="shared" si="1"/>
        <v>0</v>
      </c>
      <c r="P14" s="70">
        <f t="shared" si="1"/>
        <v>0</v>
      </c>
      <c r="Q14" s="70">
        <f t="shared" si="1"/>
        <v>0</v>
      </c>
      <c r="R14" s="70">
        <f t="shared" si="1"/>
        <v>0</v>
      </c>
      <c r="S14" s="70">
        <f t="shared" si="1"/>
        <v>0</v>
      </c>
      <c r="T14" s="70">
        <f t="shared" si="1"/>
        <v>0</v>
      </c>
      <c r="U14" s="70">
        <f t="shared" si="1"/>
        <v>0</v>
      </c>
      <c r="V14" s="70">
        <f t="shared" si="1"/>
        <v>0</v>
      </c>
      <c r="W14" s="70">
        <f t="shared" si="1"/>
        <v>0</v>
      </c>
      <c r="X14" s="70">
        <f t="shared" si="1"/>
        <v>0</v>
      </c>
      <c r="Y14" s="70">
        <f t="shared" si="1"/>
        <v>0</v>
      </c>
    </row>
    <row r="15" spans="1:25" s="73" customFormat="1" x14ac:dyDescent="0.45">
      <c r="A15" s="68" t="s">
        <v>306</v>
      </c>
      <c r="B15" s="71">
        <v>1908301</v>
      </c>
      <c r="C15" s="71">
        <v>1786218</v>
      </c>
      <c r="D15" s="71">
        <v>948528</v>
      </c>
      <c r="E15" s="71">
        <v>651024</v>
      </c>
      <c r="F15" s="72">
        <v>639605</v>
      </c>
      <c r="G15" s="72">
        <v>421407</v>
      </c>
      <c r="H15" s="72">
        <v>556387</v>
      </c>
      <c r="I15" s="72">
        <v>409878</v>
      </c>
      <c r="J15" s="72">
        <v>768548</v>
      </c>
      <c r="K15" s="72">
        <v>1319492</v>
      </c>
      <c r="L15" s="72">
        <v>1052573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72">
        <v>0</v>
      </c>
      <c r="V15" s="72">
        <v>0</v>
      </c>
      <c r="W15" s="72">
        <v>0</v>
      </c>
      <c r="X15" s="72">
        <v>0</v>
      </c>
      <c r="Y15" s="72">
        <v>0</v>
      </c>
    </row>
    <row r="16" spans="1:25" x14ac:dyDescent="0.45">
      <c r="A16" s="68" t="s">
        <v>308</v>
      </c>
      <c r="B16" s="72">
        <f>SUM(B17:B19)</f>
        <v>1185567</v>
      </c>
      <c r="C16" s="72">
        <f t="shared" ref="C16:Y16" si="2">SUM(C17:C19)</f>
        <v>1221951</v>
      </c>
      <c r="D16" s="72">
        <f t="shared" si="2"/>
        <v>1173344</v>
      </c>
      <c r="E16" s="72">
        <f t="shared" si="2"/>
        <v>1163120</v>
      </c>
      <c r="F16" s="72">
        <f t="shared" si="2"/>
        <v>1119130</v>
      </c>
      <c r="G16" s="72">
        <f t="shared" si="2"/>
        <v>1156747</v>
      </c>
      <c r="H16" s="72">
        <f t="shared" si="2"/>
        <v>1106262</v>
      </c>
      <c r="I16" s="72">
        <f t="shared" si="2"/>
        <v>1167381</v>
      </c>
      <c r="J16" s="72">
        <f t="shared" si="2"/>
        <v>919727</v>
      </c>
      <c r="K16" s="72">
        <f t="shared" si="2"/>
        <v>935617</v>
      </c>
      <c r="L16" s="72">
        <f t="shared" si="2"/>
        <v>903055</v>
      </c>
      <c r="M16" s="72">
        <f t="shared" si="2"/>
        <v>0</v>
      </c>
      <c r="N16" s="72">
        <f t="shared" si="2"/>
        <v>0</v>
      </c>
      <c r="O16" s="72">
        <f t="shared" si="2"/>
        <v>0</v>
      </c>
      <c r="P16" s="72">
        <f t="shared" si="2"/>
        <v>0</v>
      </c>
      <c r="Q16" s="72">
        <f t="shared" si="2"/>
        <v>0</v>
      </c>
      <c r="R16" s="72">
        <f t="shared" si="2"/>
        <v>0</v>
      </c>
      <c r="S16" s="72">
        <f t="shared" si="2"/>
        <v>0</v>
      </c>
      <c r="T16" s="72">
        <f t="shared" si="2"/>
        <v>0</v>
      </c>
      <c r="U16" s="72">
        <f t="shared" si="2"/>
        <v>0</v>
      </c>
      <c r="V16" s="72">
        <f t="shared" si="2"/>
        <v>0</v>
      </c>
      <c r="W16" s="72">
        <f t="shared" si="2"/>
        <v>0</v>
      </c>
      <c r="X16" s="72">
        <f t="shared" si="2"/>
        <v>0</v>
      </c>
      <c r="Y16" s="72">
        <f t="shared" si="2"/>
        <v>0</v>
      </c>
    </row>
    <row r="17" spans="1:25" x14ac:dyDescent="0.45">
      <c r="A17" s="74" t="s">
        <v>265</v>
      </c>
      <c r="B17" s="75">
        <v>735380</v>
      </c>
      <c r="C17" s="75">
        <v>999542</v>
      </c>
      <c r="D17" s="75">
        <v>1022679</v>
      </c>
      <c r="E17" s="75">
        <v>997039</v>
      </c>
      <c r="F17" s="75">
        <v>960383</v>
      </c>
      <c r="G17" s="75">
        <v>939189</v>
      </c>
      <c r="H17" s="75">
        <v>930965</v>
      </c>
      <c r="I17" s="75">
        <v>936340</v>
      </c>
      <c r="J17" s="75">
        <v>801739</v>
      </c>
      <c r="K17" s="75">
        <v>769707</v>
      </c>
      <c r="L17" s="75">
        <v>702387</v>
      </c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</row>
    <row r="18" spans="1:25" x14ac:dyDescent="0.45">
      <c r="A18" s="74" t="s">
        <v>362</v>
      </c>
      <c r="B18" s="75">
        <v>0</v>
      </c>
      <c r="C18" s="75">
        <v>0</v>
      </c>
      <c r="D18" s="75">
        <v>0</v>
      </c>
      <c r="E18" s="75">
        <v>4014</v>
      </c>
      <c r="F18" s="75">
        <v>2149</v>
      </c>
      <c r="G18" s="75">
        <v>0</v>
      </c>
      <c r="H18" s="75">
        <v>0</v>
      </c>
      <c r="I18" s="75">
        <v>30242</v>
      </c>
      <c r="J18" s="75">
        <v>0</v>
      </c>
      <c r="K18" s="75">
        <v>0</v>
      </c>
      <c r="L18" s="75">
        <v>28333</v>
      </c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</row>
    <row r="19" spans="1:25" x14ac:dyDescent="0.45">
      <c r="A19" s="74" t="s">
        <v>267</v>
      </c>
      <c r="B19" s="75">
        <v>450187</v>
      </c>
      <c r="C19" s="75">
        <v>222409</v>
      </c>
      <c r="D19" s="75">
        <v>150665</v>
      </c>
      <c r="E19" s="75">
        <v>162067</v>
      </c>
      <c r="F19" s="75">
        <v>156598</v>
      </c>
      <c r="G19" s="75">
        <v>217558</v>
      </c>
      <c r="H19" s="75">
        <v>175297</v>
      </c>
      <c r="I19" s="75">
        <v>200799</v>
      </c>
      <c r="J19" s="75">
        <v>117988</v>
      </c>
      <c r="K19" s="75">
        <v>165910</v>
      </c>
      <c r="L19" s="75">
        <v>172335</v>
      </c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</row>
    <row r="20" spans="1:25" s="73" customFormat="1" x14ac:dyDescent="0.45">
      <c r="A20" s="68" t="s">
        <v>266</v>
      </c>
      <c r="B20" s="72">
        <v>135370</v>
      </c>
      <c r="C20" s="72">
        <v>159498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</row>
    <row r="21" spans="1:25" x14ac:dyDescent="0.45">
      <c r="A21" s="68" t="s">
        <v>309</v>
      </c>
      <c r="B21" s="72">
        <f>SUM(B22:B24)</f>
        <v>52901</v>
      </c>
      <c r="C21" s="72">
        <f t="shared" ref="C21:Y21" si="3">SUM(C22:C24)</f>
        <v>69614</v>
      </c>
      <c r="D21" s="72">
        <f t="shared" si="3"/>
        <v>75395</v>
      </c>
      <c r="E21" s="72">
        <f t="shared" si="3"/>
        <v>82531</v>
      </c>
      <c r="F21" s="72">
        <f t="shared" si="3"/>
        <v>101269</v>
      </c>
      <c r="G21" s="72">
        <f t="shared" si="3"/>
        <v>127127</v>
      </c>
      <c r="H21" s="72">
        <f t="shared" si="3"/>
        <v>91085</v>
      </c>
      <c r="I21" s="72">
        <f t="shared" si="3"/>
        <v>109429</v>
      </c>
      <c r="J21" s="72">
        <f t="shared" si="3"/>
        <v>82795</v>
      </c>
      <c r="K21" s="72">
        <f t="shared" si="3"/>
        <v>102496</v>
      </c>
      <c r="L21" s="72">
        <f t="shared" si="3"/>
        <v>111890</v>
      </c>
      <c r="M21" s="72">
        <f t="shared" si="3"/>
        <v>0</v>
      </c>
      <c r="N21" s="72">
        <f t="shared" si="3"/>
        <v>0</v>
      </c>
      <c r="O21" s="72">
        <f t="shared" si="3"/>
        <v>0</v>
      </c>
      <c r="P21" s="72">
        <f t="shared" si="3"/>
        <v>0</v>
      </c>
      <c r="Q21" s="72">
        <f t="shared" si="3"/>
        <v>0</v>
      </c>
      <c r="R21" s="72">
        <f t="shared" si="3"/>
        <v>0</v>
      </c>
      <c r="S21" s="72">
        <f t="shared" si="3"/>
        <v>0</v>
      </c>
      <c r="T21" s="72">
        <f t="shared" si="3"/>
        <v>0</v>
      </c>
      <c r="U21" s="72">
        <f t="shared" si="3"/>
        <v>0</v>
      </c>
      <c r="V21" s="72">
        <f t="shared" si="3"/>
        <v>0</v>
      </c>
      <c r="W21" s="72">
        <f t="shared" si="3"/>
        <v>0</v>
      </c>
      <c r="X21" s="72">
        <f t="shared" si="3"/>
        <v>0</v>
      </c>
      <c r="Y21" s="72">
        <f t="shared" si="3"/>
        <v>0</v>
      </c>
    </row>
    <row r="22" spans="1:25" x14ac:dyDescent="0.45">
      <c r="A22" s="74" t="s">
        <v>268</v>
      </c>
      <c r="B22" s="75">
        <v>6876</v>
      </c>
      <c r="C22" s="75">
        <v>9950</v>
      </c>
      <c r="D22" s="75">
        <v>13119</v>
      </c>
      <c r="E22" s="75">
        <v>1</v>
      </c>
      <c r="F22" s="75">
        <v>15588</v>
      </c>
      <c r="G22" s="75">
        <v>15033</v>
      </c>
      <c r="H22" s="75">
        <v>14898</v>
      </c>
      <c r="I22" s="75">
        <v>19</v>
      </c>
      <c r="J22" s="75">
        <v>13864</v>
      </c>
      <c r="K22" s="75">
        <v>17549</v>
      </c>
      <c r="L22" s="75">
        <v>15056</v>
      </c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</row>
    <row r="23" spans="1:25" x14ac:dyDescent="0.45">
      <c r="A23" s="74" t="s">
        <v>310</v>
      </c>
      <c r="B23" s="75">
        <v>46025</v>
      </c>
      <c r="C23" s="75">
        <v>59664</v>
      </c>
      <c r="D23" s="75">
        <v>62276</v>
      </c>
      <c r="E23" s="75">
        <v>82470</v>
      </c>
      <c r="F23" s="75">
        <v>85645</v>
      </c>
      <c r="G23" s="75">
        <v>112094</v>
      </c>
      <c r="H23" s="75">
        <v>76187</v>
      </c>
      <c r="I23" s="75">
        <v>109410</v>
      </c>
      <c r="J23" s="75">
        <v>68931</v>
      </c>
      <c r="K23" s="75">
        <v>84947</v>
      </c>
      <c r="L23" s="75">
        <v>96834</v>
      </c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</row>
    <row r="24" spans="1:25" x14ac:dyDescent="0.45">
      <c r="A24" s="74" t="s">
        <v>366</v>
      </c>
      <c r="B24" s="75">
        <v>0</v>
      </c>
      <c r="C24" s="75">
        <v>0</v>
      </c>
      <c r="D24" s="75">
        <v>0</v>
      </c>
      <c r="E24" s="75">
        <v>60</v>
      </c>
      <c r="F24" s="75">
        <v>36</v>
      </c>
      <c r="G24" s="75">
        <v>0</v>
      </c>
      <c r="H24" s="75">
        <v>0</v>
      </c>
      <c r="I24" s="75">
        <v>0</v>
      </c>
      <c r="J24" s="75">
        <v>0</v>
      </c>
      <c r="K24" s="75">
        <v>0</v>
      </c>
      <c r="L24" s="75">
        <v>0</v>
      </c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</row>
    <row r="25" spans="1:25" x14ac:dyDescent="0.45">
      <c r="A25" s="68" t="s">
        <v>311</v>
      </c>
      <c r="B25" s="72">
        <f>B26</f>
        <v>1331</v>
      </c>
      <c r="C25" s="72">
        <f t="shared" ref="C25:Y25" si="4">C26</f>
        <v>1865</v>
      </c>
      <c r="D25" s="72">
        <f t="shared" si="4"/>
        <v>1186</v>
      </c>
      <c r="E25" s="72">
        <f t="shared" si="4"/>
        <v>1984</v>
      </c>
      <c r="F25" s="72">
        <f t="shared" si="4"/>
        <v>1174</v>
      </c>
      <c r="G25" s="72">
        <f t="shared" si="4"/>
        <v>2736</v>
      </c>
      <c r="H25" s="72">
        <f t="shared" si="4"/>
        <v>1267</v>
      </c>
      <c r="I25" s="72">
        <f t="shared" si="4"/>
        <v>894</v>
      </c>
      <c r="J25" s="72">
        <f t="shared" si="4"/>
        <v>516</v>
      </c>
      <c r="K25" s="72">
        <f t="shared" si="4"/>
        <v>87</v>
      </c>
      <c r="L25" s="72">
        <f t="shared" si="4"/>
        <v>29</v>
      </c>
      <c r="M25" s="72">
        <f t="shared" si="4"/>
        <v>0</v>
      </c>
      <c r="N25" s="72">
        <f t="shared" si="4"/>
        <v>0</v>
      </c>
      <c r="O25" s="72">
        <f t="shared" si="4"/>
        <v>0</v>
      </c>
      <c r="P25" s="72">
        <f t="shared" si="4"/>
        <v>0</v>
      </c>
      <c r="Q25" s="72">
        <f t="shared" si="4"/>
        <v>0</v>
      </c>
      <c r="R25" s="72">
        <f t="shared" si="4"/>
        <v>0</v>
      </c>
      <c r="S25" s="72">
        <f t="shared" si="4"/>
        <v>0</v>
      </c>
      <c r="T25" s="72">
        <f t="shared" si="4"/>
        <v>0</v>
      </c>
      <c r="U25" s="72">
        <f t="shared" si="4"/>
        <v>0</v>
      </c>
      <c r="V25" s="72">
        <f t="shared" si="4"/>
        <v>0</v>
      </c>
      <c r="W25" s="72">
        <f t="shared" si="4"/>
        <v>0</v>
      </c>
      <c r="X25" s="72">
        <f t="shared" si="4"/>
        <v>0</v>
      </c>
      <c r="Y25" s="72">
        <f t="shared" si="4"/>
        <v>0</v>
      </c>
    </row>
    <row r="26" spans="1:25" x14ac:dyDescent="0.45">
      <c r="A26" s="74" t="s">
        <v>270</v>
      </c>
      <c r="B26" s="75">
        <v>1331</v>
      </c>
      <c r="C26" s="75">
        <v>1865</v>
      </c>
      <c r="D26" s="75">
        <v>1186</v>
      </c>
      <c r="E26" s="75">
        <v>1984</v>
      </c>
      <c r="F26" s="75">
        <v>1174</v>
      </c>
      <c r="G26" s="75">
        <v>2736</v>
      </c>
      <c r="H26" s="75">
        <v>1267</v>
      </c>
      <c r="I26" s="75">
        <v>894</v>
      </c>
      <c r="J26" s="75">
        <v>516</v>
      </c>
      <c r="K26" s="75">
        <v>87</v>
      </c>
      <c r="L26" s="75">
        <v>29</v>
      </c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</row>
    <row r="27" spans="1:25" x14ac:dyDescent="0.45">
      <c r="A27" s="68" t="s">
        <v>312</v>
      </c>
      <c r="B27" s="72">
        <f>SUM(B28:B30)</f>
        <v>4460247</v>
      </c>
      <c r="C27" s="72">
        <f t="shared" ref="C27:Y27" si="5">SUM(C28:C30)</f>
        <v>4580978</v>
      </c>
      <c r="D27" s="72">
        <f t="shared" si="5"/>
        <v>4965121</v>
      </c>
      <c r="E27" s="72">
        <f t="shared" si="5"/>
        <v>5853090</v>
      </c>
      <c r="F27" s="72">
        <f t="shared" si="5"/>
        <v>6287784</v>
      </c>
      <c r="G27" s="72">
        <f t="shared" si="5"/>
        <v>6923621</v>
      </c>
      <c r="H27" s="72">
        <f t="shared" si="5"/>
        <v>7520009</v>
      </c>
      <c r="I27" s="72">
        <f t="shared" si="5"/>
        <v>8239560</v>
      </c>
      <c r="J27" s="72">
        <f t="shared" si="5"/>
        <v>9024824</v>
      </c>
      <c r="K27" s="72">
        <f t="shared" si="5"/>
        <v>9298585</v>
      </c>
      <c r="L27" s="72">
        <f t="shared" si="5"/>
        <v>9709168</v>
      </c>
      <c r="M27" s="72">
        <f t="shared" si="5"/>
        <v>0</v>
      </c>
      <c r="N27" s="72">
        <f t="shared" si="5"/>
        <v>0</v>
      </c>
      <c r="O27" s="72">
        <f t="shared" si="5"/>
        <v>0</v>
      </c>
      <c r="P27" s="72">
        <f t="shared" si="5"/>
        <v>0</v>
      </c>
      <c r="Q27" s="72">
        <f t="shared" si="5"/>
        <v>0</v>
      </c>
      <c r="R27" s="72">
        <f t="shared" si="5"/>
        <v>0</v>
      </c>
      <c r="S27" s="72">
        <f t="shared" si="5"/>
        <v>0</v>
      </c>
      <c r="T27" s="72">
        <f t="shared" si="5"/>
        <v>0</v>
      </c>
      <c r="U27" s="72">
        <f t="shared" si="5"/>
        <v>0</v>
      </c>
      <c r="V27" s="72">
        <f t="shared" si="5"/>
        <v>0</v>
      </c>
      <c r="W27" s="72">
        <f t="shared" si="5"/>
        <v>0</v>
      </c>
      <c r="X27" s="72">
        <f t="shared" si="5"/>
        <v>0</v>
      </c>
      <c r="Y27" s="72">
        <f t="shared" si="5"/>
        <v>0</v>
      </c>
    </row>
    <row r="28" spans="1:25" x14ac:dyDescent="0.45">
      <c r="A28" s="74" t="s">
        <v>313</v>
      </c>
      <c r="B28" s="75">
        <v>4932152</v>
      </c>
      <c r="C28" s="75">
        <v>5023320</v>
      </c>
      <c r="D28" s="75">
        <v>5369249</v>
      </c>
      <c r="E28" s="75">
        <v>6264458</v>
      </c>
      <c r="F28" s="75">
        <v>6678500</v>
      </c>
      <c r="G28" s="75">
        <v>7302047</v>
      </c>
      <c r="H28" s="75">
        <v>7892202</v>
      </c>
      <c r="I28" s="75">
        <v>8415853</v>
      </c>
      <c r="J28" s="75">
        <v>8972264</v>
      </c>
      <c r="K28" s="75">
        <v>8943415</v>
      </c>
      <c r="L28" s="75">
        <v>9419165</v>
      </c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</row>
    <row r="29" spans="1:25" x14ac:dyDescent="0.45">
      <c r="A29" s="74" t="s">
        <v>271</v>
      </c>
      <c r="B29" s="75">
        <v>18537</v>
      </c>
      <c r="C29" s="75">
        <v>13535</v>
      </c>
      <c r="D29" s="75">
        <v>8814</v>
      </c>
      <c r="E29" s="75">
        <v>0</v>
      </c>
      <c r="F29" s="75">
        <v>0</v>
      </c>
      <c r="G29" s="75">
        <v>0</v>
      </c>
      <c r="H29" s="75">
        <v>0</v>
      </c>
      <c r="I29" s="75">
        <v>216211</v>
      </c>
      <c r="J29" s="75">
        <v>459672</v>
      </c>
      <c r="K29" s="75">
        <v>824354</v>
      </c>
      <c r="L29" s="75">
        <v>757940</v>
      </c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</row>
    <row r="30" spans="1:25" x14ac:dyDescent="0.45">
      <c r="A30" s="74" t="s">
        <v>272</v>
      </c>
      <c r="B30" s="76">
        <v>-490442</v>
      </c>
      <c r="C30" s="76">
        <v>-455877</v>
      </c>
      <c r="D30" s="76">
        <v>-412942</v>
      </c>
      <c r="E30" s="76">
        <v>-411368</v>
      </c>
      <c r="F30" s="76">
        <v>-390716</v>
      </c>
      <c r="G30" s="76">
        <v>-378426</v>
      </c>
      <c r="H30" s="76">
        <v>-372193</v>
      </c>
      <c r="I30" s="76">
        <v>-392504</v>
      </c>
      <c r="J30" s="76">
        <v>-407112</v>
      </c>
      <c r="K30" s="76">
        <v>-469184</v>
      </c>
      <c r="L30" s="76">
        <v>-467937</v>
      </c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</row>
    <row r="31" spans="1:25" x14ac:dyDescent="0.45">
      <c r="A31" s="68" t="s">
        <v>314</v>
      </c>
      <c r="B31" s="77">
        <f>SUM(B32:B36)</f>
        <v>57557</v>
      </c>
      <c r="C31" s="77">
        <f t="shared" ref="C31:Y31" si="6">SUM(C32:C36)</f>
        <v>45614</v>
      </c>
      <c r="D31" s="77">
        <f t="shared" si="6"/>
        <v>53963</v>
      </c>
      <c r="E31" s="77">
        <f t="shared" si="6"/>
        <v>73388</v>
      </c>
      <c r="F31" s="77">
        <f t="shared" si="6"/>
        <v>68349</v>
      </c>
      <c r="G31" s="77">
        <f t="shared" si="6"/>
        <v>81824</v>
      </c>
      <c r="H31" s="77">
        <f t="shared" si="6"/>
        <v>87905</v>
      </c>
      <c r="I31" s="77">
        <f t="shared" si="6"/>
        <v>115544</v>
      </c>
      <c r="J31" s="77">
        <f t="shared" si="6"/>
        <v>162542</v>
      </c>
      <c r="K31" s="77">
        <f t="shared" si="6"/>
        <v>176150</v>
      </c>
      <c r="L31" s="77">
        <f t="shared" si="6"/>
        <v>174388</v>
      </c>
      <c r="M31" s="77">
        <f t="shared" si="6"/>
        <v>0</v>
      </c>
      <c r="N31" s="77">
        <f t="shared" si="6"/>
        <v>0</v>
      </c>
      <c r="O31" s="77">
        <f t="shared" si="6"/>
        <v>0</v>
      </c>
      <c r="P31" s="77">
        <f t="shared" si="6"/>
        <v>0</v>
      </c>
      <c r="Q31" s="77">
        <f t="shared" si="6"/>
        <v>0</v>
      </c>
      <c r="R31" s="77">
        <f t="shared" si="6"/>
        <v>0</v>
      </c>
      <c r="S31" s="77">
        <f t="shared" si="6"/>
        <v>0</v>
      </c>
      <c r="T31" s="77">
        <f t="shared" si="6"/>
        <v>0</v>
      </c>
      <c r="U31" s="77">
        <f t="shared" si="6"/>
        <v>0</v>
      </c>
      <c r="V31" s="77">
        <f t="shared" si="6"/>
        <v>0</v>
      </c>
      <c r="W31" s="77">
        <f t="shared" si="6"/>
        <v>0</v>
      </c>
      <c r="X31" s="77">
        <f t="shared" si="6"/>
        <v>0</v>
      </c>
      <c r="Y31" s="77">
        <f t="shared" si="6"/>
        <v>0</v>
      </c>
    </row>
    <row r="32" spans="1:25" x14ac:dyDescent="0.45">
      <c r="A32" s="74" t="s">
        <v>315</v>
      </c>
      <c r="B32" s="76">
        <v>12926</v>
      </c>
      <c r="C32" s="75">
        <v>15049</v>
      </c>
      <c r="D32" s="75">
        <v>16994</v>
      </c>
      <c r="E32" s="75">
        <v>17032</v>
      </c>
      <c r="F32" s="75">
        <v>20148</v>
      </c>
      <c r="G32" s="75">
        <v>19000</v>
      </c>
      <c r="H32" s="75">
        <v>22100</v>
      </c>
      <c r="I32" s="75">
        <v>24151</v>
      </c>
      <c r="J32" s="75">
        <v>0</v>
      </c>
      <c r="K32" s="75">
        <v>0</v>
      </c>
      <c r="L32" s="75">
        <v>0</v>
      </c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</row>
    <row r="33" spans="1:25" x14ac:dyDescent="0.45">
      <c r="A33" s="74" t="s">
        <v>316</v>
      </c>
      <c r="B33" s="76">
        <v>28117</v>
      </c>
      <c r="C33" s="75">
        <v>18716</v>
      </c>
      <c r="D33" s="75">
        <v>17486</v>
      </c>
      <c r="E33" s="75">
        <v>15851</v>
      </c>
      <c r="F33" s="75">
        <v>13593</v>
      </c>
      <c r="G33" s="75">
        <v>13337</v>
      </c>
      <c r="H33" s="75">
        <v>13969</v>
      </c>
      <c r="I33" s="75">
        <v>49632</v>
      </c>
      <c r="J33" s="75">
        <v>48550</v>
      </c>
      <c r="K33" s="75">
        <v>55160</v>
      </c>
      <c r="L33" s="75">
        <v>56965</v>
      </c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</row>
    <row r="34" spans="1:25" x14ac:dyDescent="0.45">
      <c r="A34" s="74" t="s">
        <v>361</v>
      </c>
      <c r="B34" s="76">
        <v>67533</v>
      </c>
      <c r="C34" s="75">
        <v>64289</v>
      </c>
      <c r="D34" s="75">
        <v>71831</v>
      </c>
      <c r="E34" s="75">
        <v>92990</v>
      </c>
      <c r="F34" s="75">
        <v>89228</v>
      </c>
      <c r="G34" s="75">
        <v>103315</v>
      </c>
      <c r="H34" s="75">
        <v>107911</v>
      </c>
      <c r="I34" s="75">
        <v>123489</v>
      </c>
      <c r="J34" s="75">
        <v>115861</v>
      </c>
      <c r="K34" s="75">
        <v>123337</v>
      </c>
      <c r="L34" s="75">
        <v>119936</v>
      </c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</row>
    <row r="35" spans="1:25" x14ac:dyDescent="0.45">
      <c r="A35" s="74" t="s">
        <v>375</v>
      </c>
      <c r="B35" s="78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118370</v>
      </c>
      <c r="K35" s="75">
        <v>0</v>
      </c>
      <c r="L35" s="75">
        <v>0</v>
      </c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</row>
    <row r="36" spans="1:25" x14ac:dyDescent="0.45">
      <c r="A36" s="74" t="s">
        <v>317</v>
      </c>
      <c r="B36" s="76">
        <v>-51019</v>
      </c>
      <c r="C36" s="76">
        <v>-52440</v>
      </c>
      <c r="D36" s="76">
        <v>-52348</v>
      </c>
      <c r="E36" s="76">
        <v>-52485</v>
      </c>
      <c r="F36" s="76">
        <v>-54620</v>
      </c>
      <c r="G36" s="76">
        <v>-53828</v>
      </c>
      <c r="H36" s="76">
        <v>-56075</v>
      </c>
      <c r="I36" s="76">
        <v>-81728</v>
      </c>
      <c r="J36" s="76">
        <v>-120239</v>
      </c>
      <c r="K36" s="76">
        <v>-2347</v>
      </c>
      <c r="L36" s="76">
        <v>-2513</v>
      </c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</row>
    <row r="37" spans="1:25" ht="6" customHeight="1" x14ac:dyDescent="0.45">
      <c r="A37" s="68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</row>
    <row r="38" spans="1:25" ht="12.75" customHeight="1" x14ac:dyDescent="0.45">
      <c r="A38" s="66" t="s">
        <v>385</v>
      </c>
      <c r="B38" s="80">
        <f>B39+B40</f>
        <v>608158</v>
      </c>
      <c r="C38" s="80">
        <f t="shared" ref="C38:Y38" si="7">C39+C40</f>
        <v>604021</v>
      </c>
      <c r="D38" s="80">
        <f t="shared" si="7"/>
        <v>588541</v>
      </c>
      <c r="E38" s="80">
        <f t="shared" si="7"/>
        <v>570043</v>
      </c>
      <c r="F38" s="80">
        <f t="shared" si="7"/>
        <v>563700</v>
      </c>
      <c r="G38" s="80">
        <f t="shared" si="7"/>
        <v>555390</v>
      </c>
      <c r="H38" s="80">
        <f t="shared" si="7"/>
        <v>543466</v>
      </c>
      <c r="I38" s="80">
        <f t="shared" si="7"/>
        <v>697507</v>
      </c>
      <c r="J38" s="80">
        <f t="shared" si="7"/>
        <v>718621</v>
      </c>
      <c r="K38" s="80">
        <f t="shared" si="7"/>
        <v>695033</v>
      </c>
      <c r="L38" s="80">
        <f t="shared" si="7"/>
        <v>712289</v>
      </c>
      <c r="M38" s="80">
        <f t="shared" si="7"/>
        <v>0</v>
      </c>
      <c r="N38" s="80">
        <f t="shared" si="7"/>
        <v>0</v>
      </c>
      <c r="O38" s="80">
        <f t="shared" si="7"/>
        <v>0</v>
      </c>
      <c r="P38" s="80">
        <f t="shared" si="7"/>
        <v>0</v>
      </c>
      <c r="Q38" s="80">
        <f t="shared" si="7"/>
        <v>0</v>
      </c>
      <c r="R38" s="80">
        <f t="shared" si="7"/>
        <v>0</v>
      </c>
      <c r="S38" s="80">
        <f t="shared" si="7"/>
        <v>0</v>
      </c>
      <c r="T38" s="80">
        <f t="shared" si="7"/>
        <v>0</v>
      </c>
      <c r="U38" s="80">
        <f t="shared" si="7"/>
        <v>0</v>
      </c>
      <c r="V38" s="80">
        <f t="shared" si="7"/>
        <v>0</v>
      </c>
      <c r="W38" s="80">
        <f t="shared" si="7"/>
        <v>0</v>
      </c>
      <c r="X38" s="80">
        <f t="shared" si="7"/>
        <v>0</v>
      </c>
      <c r="Y38" s="80">
        <f t="shared" si="7"/>
        <v>0</v>
      </c>
    </row>
    <row r="39" spans="1:25" ht="12.75" customHeight="1" x14ac:dyDescent="0.45">
      <c r="A39" s="74" t="s">
        <v>386</v>
      </c>
      <c r="B39" s="75">
        <v>35577</v>
      </c>
      <c r="C39" s="75">
        <v>34367</v>
      </c>
      <c r="D39" s="75">
        <v>35720</v>
      </c>
      <c r="E39" s="75">
        <v>14666</v>
      </c>
      <c r="F39" s="75">
        <v>14896</v>
      </c>
      <c r="G39" s="75">
        <v>15850</v>
      </c>
      <c r="H39" s="75">
        <v>16027</v>
      </c>
      <c r="I39" s="75">
        <v>84742</v>
      </c>
      <c r="J39" s="75">
        <v>147972</v>
      </c>
      <c r="K39" s="75">
        <v>146302</v>
      </c>
      <c r="L39" s="75">
        <v>144316</v>
      </c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</row>
    <row r="40" spans="1:25" ht="12.75" customHeight="1" x14ac:dyDescent="0.45">
      <c r="A40" s="74" t="s">
        <v>387</v>
      </c>
      <c r="B40" s="75">
        <v>572581</v>
      </c>
      <c r="C40" s="75">
        <v>569654</v>
      </c>
      <c r="D40" s="75">
        <v>552821</v>
      </c>
      <c r="E40" s="75">
        <v>555377</v>
      </c>
      <c r="F40" s="75">
        <v>548804</v>
      </c>
      <c r="G40" s="75">
        <v>539540</v>
      </c>
      <c r="H40" s="75">
        <v>527439</v>
      </c>
      <c r="I40" s="75">
        <v>612765</v>
      </c>
      <c r="J40" s="75">
        <v>570649</v>
      </c>
      <c r="K40" s="75">
        <v>548731</v>
      </c>
      <c r="L40" s="75">
        <v>567973</v>
      </c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</row>
    <row r="41" spans="1:25" ht="6" customHeight="1" x14ac:dyDescent="0.45">
      <c r="A41" s="68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</row>
    <row r="42" spans="1:25" x14ac:dyDescent="0.45">
      <c r="A42" s="66" t="s">
        <v>318</v>
      </c>
      <c r="B42" s="80">
        <f>B43+B48</f>
        <v>676933</v>
      </c>
      <c r="C42" s="80">
        <f t="shared" ref="C42:Y42" si="8">C43+C48</f>
        <v>758373</v>
      </c>
      <c r="D42" s="80">
        <f t="shared" si="8"/>
        <v>748258</v>
      </c>
      <c r="E42" s="80">
        <f t="shared" si="8"/>
        <v>649353</v>
      </c>
      <c r="F42" s="80">
        <f t="shared" si="8"/>
        <v>710167</v>
      </c>
      <c r="G42" s="80">
        <f t="shared" si="8"/>
        <v>758403</v>
      </c>
      <c r="H42" s="80">
        <f t="shared" si="8"/>
        <v>528289</v>
      </c>
      <c r="I42" s="80">
        <f t="shared" si="8"/>
        <v>442258</v>
      </c>
      <c r="J42" s="80">
        <f t="shared" si="8"/>
        <v>395285</v>
      </c>
      <c r="K42" s="80">
        <f t="shared" si="8"/>
        <v>413313</v>
      </c>
      <c r="L42" s="80">
        <f t="shared" si="8"/>
        <v>378809</v>
      </c>
      <c r="M42" s="80">
        <f t="shared" si="8"/>
        <v>0</v>
      </c>
      <c r="N42" s="80">
        <f t="shared" si="8"/>
        <v>0</v>
      </c>
      <c r="O42" s="80">
        <f t="shared" si="8"/>
        <v>0</v>
      </c>
      <c r="P42" s="80">
        <f t="shared" si="8"/>
        <v>0</v>
      </c>
      <c r="Q42" s="80">
        <f t="shared" si="8"/>
        <v>0</v>
      </c>
      <c r="R42" s="80">
        <f t="shared" si="8"/>
        <v>0</v>
      </c>
      <c r="S42" s="80">
        <f t="shared" si="8"/>
        <v>0</v>
      </c>
      <c r="T42" s="80">
        <f t="shared" si="8"/>
        <v>0</v>
      </c>
      <c r="U42" s="80">
        <f t="shared" si="8"/>
        <v>0</v>
      </c>
      <c r="V42" s="80">
        <f t="shared" si="8"/>
        <v>0</v>
      </c>
      <c r="W42" s="80">
        <f t="shared" si="8"/>
        <v>0</v>
      </c>
      <c r="X42" s="80">
        <f t="shared" si="8"/>
        <v>0</v>
      </c>
      <c r="Y42" s="80">
        <f t="shared" si="8"/>
        <v>0</v>
      </c>
    </row>
    <row r="43" spans="1:25" s="62" customFormat="1" x14ac:dyDescent="0.45">
      <c r="A43" s="68" t="s">
        <v>275</v>
      </c>
      <c r="B43" s="81">
        <f>SUM(B44:B47)</f>
        <v>234630</v>
      </c>
      <c r="C43" s="81">
        <f t="shared" ref="C43:Y43" si="9">SUM(C44:C47)</f>
        <v>208970</v>
      </c>
      <c r="D43" s="81">
        <f t="shared" si="9"/>
        <v>181723</v>
      </c>
      <c r="E43" s="81">
        <f t="shared" si="9"/>
        <v>176362</v>
      </c>
      <c r="F43" s="81">
        <f t="shared" si="9"/>
        <v>163062</v>
      </c>
      <c r="G43" s="81">
        <f t="shared" si="9"/>
        <v>146909</v>
      </c>
      <c r="H43" s="81">
        <f t="shared" si="9"/>
        <v>142628</v>
      </c>
      <c r="I43" s="81">
        <f t="shared" si="9"/>
        <v>85623</v>
      </c>
      <c r="J43" s="81">
        <f t="shared" si="9"/>
        <v>89446</v>
      </c>
      <c r="K43" s="81">
        <f t="shared" si="9"/>
        <v>113613</v>
      </c>
      <c r="L43" s="81">
        <f>SUM(L44:L47)</f>
        <v>103383</v>
      </c>
      <c r="M43" s="81">
        <f t="shared" si="9"/>
        <v>0</v>
      </c>
      <c r="N43" s="81">
        <f t="shared" si="9"/>
        <v>0</v>
      </c>
      <c r="O43" s="81">
        <f t="shared" si="9"/>
        <v>0</v>
      </c>
      <c r="P43" s="81">
        <f t="shared" si="9"/>
        <v>0</v>
      </c>
      <c r="Q43" s="81">
        <f t="shared" si="9"/>
        <v>0</v>
      </c>
      <c r="R43" s="81">
        <f t="shared" si="9"/>
        <v>0</v>
      </c>
      <c r="S43" s="81">
        <f t="shared" si="9"/>
        <v>0</v>
      </c>
      <c r="T43" s="81">
        <f t="shared" si="9"/>
        <v>0</v>
      </c>
      <c r="U43" s="81">
        <f t="shared" si="9"/>
        <v>0</v>
      </c>
      <c r="V43" s="81">
        <f t="shared" si="9"/>
        <v>0</v>
      </c>
      <c r="W43" s="81">
        <f t="shared" si="9"/>
        <v>0</v>
      </c>
      <c r="X43" s="81">
        <f t="shared" si="9"/>
        <v>0</v>
      </c>
      <c r="Y43" s="81">
        <f t="shared" si="9"/>
        <v>0</v>
      </c>
    </row>
    <row r="44" spans="1:25" s="62" customFormat="1" x14ac:dyDescent="0.45">
      <c r="A44" s="74" t="s">
        <v>384</v>
      </c>
      <c r="B44" s="82">
        <v>0</v>
      </c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82">
        <v>0</v>
      </c>
      <c r="I44" s="82">
        <v>0</v>
      </c>
      <c r="J44" s="82">
        <v>0</v>
      </c>
      <c r="K44" s="82">
        <v>3722</v>
      </c>
      <c r="L44" s="82">
        <v>3824</v>
      </c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</row>
    <row r="45" spans="1:25" s="62" customFormat="1" x14ac:dyDescent="0.45">
      <c r="A45" s="74" t="s">
        <v>364</v>
      </c>
      <c r="B45" s="82">
        <v>228162</v>
      </c>
      <c r="C45" s="82">
        <v>223023</v>
      </c>
      <c r="D45" s="82">
        <v>188205</v>
      </c>
      <c r="E45" s="82">
        <v>181647</v>
      </c>
      <c r="F45" s="82">
        <v>162695</v>
      </c>
      <c r="G45" s="82">
        <v>131002</v>
      </c>
      <c r="H45" s="82">
        <v>125787</v>
      </c>
      <c r="I45" s="82">
        <v>65651</v>
      </c>
      <c r="J45" s="82">
        <v>61079</v>
      </c>
      <c r="K45" s="82">
        <v>76320</v>
      </c>
      <c r="L45" s="82">
        <v>68817</v>
      </c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</row>
    <row r="46" spans="1:25" s="62" customFormat="1" x14ac:dyDescent="0.45">
      <c r="A46" s="74" t="s">
        <v>383</v>
      </c>
      <c r="B46" s="82">
        <v>-94542</v>
      </c>
      <c r="C46" s="82">
        <v>-94488</v>
      </c>
      <c r="D46" s="82">
        <v>-79301</v>
      </c>
      <c r="E46" s="82">
        <v>-76204</v>
      </c>
      <c r="F46" s="82">
        <v>-67450</v>
      </c>
      <c r="G46" s="82">
        <v>-49420</v>
      </c>
      <c r="H46" s="82">
        <v>-43510</v>
      </c>
      <c r="I46" s="82">
        <v>-28145</v>
      </c>
      <c r="J46" s="82">
        <v>-25091</v>
      </c>
      <c r="K46" s="82">
        <v>-18943</v>
      </c>
      <c r="L46" s="82">
        <v>-15753</v>
      </c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</row>
    <row r="47" spans="1:25" s="83" customFormat="1" x14ac:dyDescent="0.45">
      <c r="A47" s="74" t="s">
        <v>276</v>
      </c>
      <c r="B47" s="82">
        <v>101010</v>
      </c>
      <c r="C47" s="82">
        <v>80435</v>
      </c>
      <c r="D47" s="82">
        <v>72819</v>
      </c>
      <c r="E47" s="82">
        <v>70919</v>
      </c>
      <c r="F47" s="82">
        <v>67817</v>
      </c>
      <c r="G47" s="82">
        <v>65327</v>
      </c>
      <c r="H47" s="82">
        <v>60351</v>
      </c>
      <c r="I47" s="82">
        <v>48117</v>
      </c>
      <c r="J47" s="82">
        <v>53458</v>
      </c>
      <c r="K47" s="82">
        <v>52514</v>
      </c>
      <c r="L47" s="82">
        <v>46495</v>
      </c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</row>
    <row r="48" spans="1:25" s="62" customFormat="1" x14ac:dyDescent="0.45">
      <c r="A48" s="68" t="s">
        <v>314</v>
      </c>
      <c r="B48" s="81">
        <f>SUM(B49:B60)</f>
        <v>442303</v>
      </c>
      <c r="C48" s="81">
        <f t="shared" ref="C48:Y48" si="10">SUM(C49:C60)</f>
        <v>549403</v>
      </c>
      <c r="D48" s="81">
        <f t="shared" si="10"/>
        <v>566535</v>
      </c>
      <c r="E48" s="81">
        <f t="shared" si="10"/>
        <v>472991</v>
      </c>
      <c r="F48" s="81">
        <f t="shared" si="10"/>
        <v>547105</v>
      </c>
      <c r="G48" s="81">
        <f t="shared" si="10"/>
        <v>611494</v>
      </c>
      <c r="H48" s="81">
        <f t="shared" si="10"/>
        <v>385661</v>
      </c>
      <c r="I48" s="81">
        <f t="shared" si="10"/>
        <v>356635</v>
      </c>
      <c r="J48" s="81">
        <f t="shared" si="10"/>
        <v>305839</v>
      </c>
      <c r="K48" s="81">
        <f t="shared" si="10"/>
        <v>299700</v>
      </c>
      <c r="L48" s="81">
        <f t="shared" si="10"/>
        <v>275426</v>
      </c>
      <c r="M48" s="81">
        <f t="shared" si="10"/>
        <v>0</v>
      </c>
      <c r="N48" s="81">
        <f t="shared" si="10"/>
        <v>0</v>
      </c>
      <c r="O48" s="81">
        <f t="shared" si="10"/>
        <v>0</v>
      </c>
      <c r="P48" s="81">
        <f t="shared" si="10"/>
        <v>0</v>
      </c>
      <c r="Q48" s="81">
        <f t="shared" si="10"/>
        <v>0</v>
      </c>
      <c r="R48" s="81">
        <f t="shared" si="10"/>
        <v>0</v>
      </c>
      <c r="S48" s="81">
        <f t="shared" si="10"/>
        <v>0</v>
      </c>
      <c r="T48" s="81">
        <f t="shared" si="10"/>
        <v>0</v>
      </c>
      <c r="U48" s="81">
        <f t="shared" si="10"/>
        <v>0</v>
      </c>
      <c r="V48" s="81">
        <f t="shared" si="10"/>
        <v>0</v>
      </c>
      <c r="W48" s="81">
        <f t="shared" si="10"/>
        <v>0</v>
      </c>
      <c r="X48" s="81">
        <f t="shared" si="10"/>
        <v>0</v>
      </c>
      <c r="Y48" s="81">
        <f t="shared" si="10"/>
        <v>0</v>
      </c>
    </row>
    <row r="49" spans="1:25" x14ac:dyDescent="0.45">
      <c r="A49" s="74" t="s">
        <v>319</v>
      </c>
      <c r="B49" s="76">
        <v>89745</v>
      </c>
      <c r="C49" s="76">
        <v>94807</v>
      </c>
      <c r="D49" s="76">
        <v>97377</v>
      </c>
      <c r="E49" s="76">
        <v>90075</v>
      </c>
      <c r="F49" s="76">
        <v>98354</v>
      </c>
      <c r="G49" s="76">
        <v>87853</v>
      </c>
      <c r="H49" s="76">
        <v>94173</v>
      </c>
      <c r="I49" s="76">
        <v>96505</v>
      </c>
      <c r="J49" s="76">
        <v>0</v>
      </c>
      <c r="K49" s="76">
        <v>0</v>
      </c>
      <c r="L49" s="76">
        <v>1300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</row>
    <row r="50" spans="1:25" x14ac:dyDescent="0.45">
      <c r="A50" s="74" t="s">
        <v>359</v>
      </c>
      <c r="B50" s="76">
        <v>0</v>
      </c>
      <c r="C50" s="76">
        <v>543</v>
      </c>
      <c r="D50" s="76">
        <v>0</v>
      </c>
      <c r="E50" s="76">
        <v>414</v>
      </c>
      <c r="F50" s="76">
        <v>0</v>
      </c>
      <c r="G50" s="76">
        <v>1917</v>
      </c>
      <c r="H50" s="76">
        <v>271</v>
      </c>
      <c r="I50" s="76">
        <v>0</v>
      </c>
      <c r="J50" s="76">
        <v>0</v>
      </c>
      <c r="K50" s="76">
        <v>0</v>
      </c>
      <c r="L50" s="76">
        <v>1077</v>
      </c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</row>
    <row r="51" spans="1:25" x14ac:dyDescent="0.45">
      <c r="A51" s="74" t="s">
        <v>372</v>
      </c>
      <c r="B51" s="76">
        <v>0</v>
      </c>
      <c r="C51" s="76">
        <v>0</v>
      </c>
      <c r="D51" s="76">
        <v>0</v>
      </c>
      <c r="E51" s="76">
        <v>-52</v>
      </c>
      <c r="F51" s="76">
        <v>0</v>
      </c>
      <c r="G51" s="76">
        <v>-221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</row>
    <row r="52" spans="1:25" x14ac:dyDescent="0.45">
      <c r="A52" s="74" t="s">
        <v>273</v>
      </c>
      <c r="B52" s="76">
        <v>8151</v>
      </c>
      <c r="C52" s="76">
        <v>8105</v>
      </c>
      <c r="D52" s="76">
        <v>8109</v>
      </c>
      <c r="E52" s="76">
        <v>7736</v>
      </c>
      <c r="F52" s="76">
        <v>8122</v>
      </c>
      <c r="G52" s="76">
        <v>1530</v>
      </c>
      <c r="H52" s="76">
        <v>2251</v>
      </c>
      <c r="I52" s="76">
        <v>3064</v>
      </c>
      <c r="J52" s="76">
        <v>1346</v>
      </c>
      <c r="K52" s="76">
        <v>2045</v>
      </c>
      <c r="L52" s="76">
        <v>1997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</row>
    <row r="53" spans="1:25" x14ac:dyDescent="0.45">
      <c r="A53" s="74" t="s">
        <v>274</v>
      </c>
      <c r="B53" s="76">
        <v>995</v>
      </c>
      <c r="C53" s="76">
        <v>5233</v>
      </c>
      <c r="D53" s="76">
        <v>3270</v>
      </c>
      <c r="E53" s="76">
        <v>2289</v>
      </c>
      <c r="F53" s="76">
        <v>4480</v>
      </c>
      <c r="G53" s="76">
        <v>3178</v>
      </c>
      <c r="H53" s="76">
        <v>2991</v>
      </c>
      <c r="I53" s="76">
        <v>3391</v>
      </c>
      <c r="J53" s="76">
        <v>717</v>
      </c>
      <c r="K53" s="76">
        <v>560</v>
      </c>
      <c r="L53" s="76">
        <v>882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</row>
    <row r="54" spans="1:25" x14ac:dyDescent="0.45">
      <c r="A54" s="74" t="s">
        <v>354</v>
      </c>
      <c r="B54" s="76">
        <v>225351</v>
      </c>
      <c r="C54" s="76">
        <v>220631</v>
      </c>
      <c r="D54" s="76">
        <v>217805</v>
      </c>
      <c r="E54" s="76">
        <v>175198</v>
      </c>
      <c r="F54" s="76">
        <v>179136</v>
      </c>
      <c r="G54" s="76">
        <v>174121</v>
      </c>
      <c r="H54" s="76">
        <v>170763</v>
      </c>
      <c r="I54" s="76">
        <v>172900</v>
      </c>
      <c r="J54" s="76">
        <v>174939</v>
      </c>
      <c r="K54" s="76">
        <v>172040</v>
      </c>
      <c r="L54" s="76">
        <v>166106</v>
      </c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</row>
    <row r="55" spans="1:25" x14ac:dyDescent="0.45">
      <c r="A55" s="74" t="s">
        <v>320</v>
      </c>
      <c r="B55" s="76">
        <v>1808</v>
      </c>
      <c r="C55" s="76">
        <v>1551</v>
      </c>
      <c r="D55" s="76">
        <v>1760</v>
      </c>
      <c r="E55" s="76">
        <v>1560</v>
      </c>
      <c r="F55" s="76">
        <v>1585</v>
      </c>
      <c r="G55" s="76">
        <v>1579</v>
      </c>
      <c r="H55" s="76">
        <v>1623</v>
      </c>
      <c r="I55" s="76">
        <v>1597</v>
      </c>
      <c r="J55" s="76">
        <v>1608</v>
      </c>
      <c r="K55" s="76">
        <v>1623</v>
      </c>
      <c r="L55" s="76">
        <v>1683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</row>
    <row r="56" spans="1:25" x14ac:dyDescent="0.45">
      <c r="A56" s="74" t="s">
        <v>321</v>
      </c>
      <c r="B56" s="76">
        <v>75035</v>
      </c>
      <c r="C56" s="76">
        <v>193652</v>
      </c>
      <c r="D56" s="76">
        <v>214210</v>
      </c>
      <c r="E56" s="76">
        <v>153687</v>
      </c>
      <c r="F56" s="76">
        <v>214564</v>
      </c>
      <c r="G56" s="76">
        <v>311922</v>
      </c>
      <c r="H56" s="76">
        <v>63329</v>
      </c>
      <c r="I56" s="76">
        <v>64600</v>
      </c>
      <c r="J56" s="76">
        <v>63995</v>
      </c>
      <c r="K56" s="76">
        <v>56684</v>
      </c>
      <c r="L56" s="76">
        <v>60680</v>
      </c>
      <c r="M56" s="76">
        <v>0</v>
      </c>
      <c r="N56" s="76">
        <v>0</v>
      </c>
      <c r="O56" s="76">
        <v>0</v>
      </c>
      <c r="P56" s="76">
        <v>0</v>
      </c>
      <c r="Q56" s="76">
        <v>0</v>
      </c>
      <c r="R56" s="76">
        <v>0</v>
      </c>
      <c r="S56" s="76">
        <v>0</v>
      </c>
      <c r="T56" s="76">
        <v>0</v>
      </c>
      <c r="U56" s="76">
        <v>0</v>
      </c>
      <c r="V56" s="76">
        <v>0</v>
      </c>
      <c r="W56" s="76">
        <v>0</v>
      </c>
      <c r="X56" s="76">
        <v>0</v>
      </c>
      <c r="Y56" s="76">
        <v>0</v>
      </c>
    </row>
    <row r="57" spans="1:25" x14ac:dyDescent="0.45">
      <c r="A57" s="74" t="s">
        <v>322</v>
      </c>
      <c r="B57" s="76">
        <v>1091</v>
      </c>
      <c r="C57" s="76">
        <v>6133</v>
      </c>
      <c r="D57" s="76">
        <v>5964</v>
      </c>
      <c r="E57" s="76">
        <v>785</v>
      </c>
      <c r="F57" s="76">
        <v>1209</v>
      </c>
      <c r="G57" s="76">
        <v>6213</v>
      </c>
      <c r="H57" s="76">
        <v>5789</v>
      </c>
      <c r="I57" s="76">
        <v>1123</v>
      </c>
      <c r="J57" s="76">
        <v>1195</v>
      </c>
      <c r="K57" s="76">
        <v>6545</v>
      </c>
      <c r="L57" s="76">
        <v>6311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</row>
    <row r="58" spans="1:25" x14ac:dyDescent="0.45">
      <c r="A58" s="74" t="s">
        <v>323</v>
      </c>
      <c r="B58" s="76">
        <v>47485</v>
      </c>
      <c r="C58" s="76">
        <v>23500</v>
      </c>
      <c r="D58" s="76">
        <v>22671</v>
      </c>
      <c r="E58" s="76">
        <v>43233</v>
      </c>
      <c r="F58" s="76">
        <v>42566</v>
      </c>
      <c r="G58" s="76">
        <v>25307</v>
      </c>
      <c r="H58" s="76">
        <v>41024</v>
      </c>
      <c r="I58" s="76">
        <v>45234</v>
      </c>
      <c r="J58" s="76">
        <v>46074</v>
      </c>
      <c r="K58" s="76">
        <v>49911</v>
      </c>
      <c r="L58" s="76">
        <v>31293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</row>
    <row r="59" spans="1:25" x14ac:dyDescent="0.45">
      <c r="A59" s="74" t="s">
        <v>324</v>
      </c>
      <c r="B59" s="76">
        <v>2342</v>
      </c>
      <c r="C59" s="76">
        <v>4948</v>
      </c>
      <c r="D59" s="76">
        <v>5069</v>
      </c>
      <c r="E59" s="76">
        <v>8460</v>
      </c>
      <c r="F59" s="76">
        <v>7789</v>
      </c>
      <c r="G59" s="76">
        <v>8795</v>
      </c>
      <c r="H59" s="76">
        <v>14147</v>
      </c>
      <c r="I59" s="76">
        <v>19692</v>
      </c>
      <c r="J59" s="76">
        <v>26665</v>
      </c>
      <c r="K59" s="76">
        <v>21892</v>
      </c>
      <c r="L59" s="76">
        <v>15659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</row>
    <row r="60" spans="1:25" x14ac:dyDescent="0.45">
      <c r="A60" s="74" t="s">
        <v>317</v>
      </c>
      <c r="B60" s="76">
        <v>-9700</v>
      </c>
      <c r="C60" s="76">
        <v>-9700</v>
      </c>
      <c r="D60" s="76">
        <v>-9700</v>
      </c>
      <c r="E60" s="76">
        <v>-10394</v>
      </c>
      <c r="F60" s="76">
        <v>-10700</v>
      </c>
      <c r="G60" s="76">
        <v>-10700</v>
      </c>
      <c r="H60" s="76">
        <v>-10700</v>
      </c>
      <c r="I60" s="76">
        <v>-51471</v>
      </c>
      <c r="J60" s="76">
        <v>-10700</v>
      </c>
      <c r="K60" s="76">
        <v>-11600</v>
      </c>
      <c r="L60" s="76">
        <v>-11562</v>
      </c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</row>
    <row r="61" spans="1:25" ht="6" customHeight="1" x14ac:dyDescent="0.45">
      <c r="A61" s="68"/>
    </row>
    <row r="62" spans="1:25" x14ac:dyDescent="0.45">
      <c r="A62" s="84" t="s">
        <v>277</v>
      </c>
      <c r="B62" s="85">
        <f t="shared" ref="B62:Y62" si="11">SUM(B63:B64)</f>
        <v>1524</v>
      </c>
      <c r="C62" s="85">
        <f t="shared" si="11"/>
        <v>1681</v>
      </c>
      <c r="D62" s="85">
        <f t="shared" si="11"/>
        <v>1906</v>
      </c>
      <c r="E62" s="85">
        <f t="shared" si="11"/>
        <v>2112</v>
      </c>
      <c r="F62" s="85">
        <f t="shared" si="11"/>
        <v>2263</v>
      </c>
      <c r="G62" s="85">
        <f t="shared" si="11"/>
        <v>2488</v>
      </c>
      <c r="H62" s="85">
        <f t="shared" si="11"/>
        <v>2464</v>
      </c>
      <c r="I62" s="85">
        <f t="shared" si="11"/>
        <v>2689</v>
      </c>
      <c r="J62" s="85">
        <f t="shared" si="11"/>
        <v>3372</v>
      </c>
      <c r="K62" s="85">
        <f t="shared" si="11"/>
        <v>3833</v>
      </c>
      <c r="L62" s="85">
        <f t="shared" si="11"/>
        <v>4132</v>
      </c>
      <c r="M62" s="85">
        <f t="shared" si="11"/>
        <v>0</v>
      </c>
      <c r="N62" s="85">
        <f t="shared" si="11"/>
        <v>0</v>
      </c>
      <c r="O62" s="85">
        <f t="shared" si="11"/>
        <v>0</v>
      </c>
      <c r="P62" s="85">
        <f t="shared" si="11"/>
        <v>0</v>
      </c>
      <c r="Q62" s="85">
        <f t="shared" si="11"/>
        <v>0</v>
      </c>
      <c r="R62" s="85">
        <f t="shared" si="11"/>
        <v>0</v>
      </c>
      <c r="S62" s="85">
        <f t="shared" si="11"/>
        <v>0</v>
      </c>
      <c r="T62" s="85">
        <f t="shared" si="11"/>
        <v>0</v>
      </c>
      <c r="U62" s="85">
        <f t="shared" si="11"/>
        <v>0</v>
      </c>
      <c r="V62" s="85">
        <f t="shared" si="11"/>
        <v>0</v>
      </c>
      <c r="W62" s="85">
        <f t="shared" si="11"/>
        <v>0</v>
      </c>
      <c r="X62" s="85">
        <f t="shared" si="11"/>
        <v>0</v>
      </c>
      <c r="Y62" s="85">
        <f t="shared" si="11"/>
        <v>0</v>
      </c>
    </row>
    <row r="63" spans="1:25" x14ac:dyDescent="0.45">
      <c r="A63" s="68" t="s">
        <v>278</v>
      </c>
      <c r="B63" s="76">
        <f>'[1]BP-BACEN-2020'!$H$99</f>
        <v>2917</v>
      </c>
      <c r="C63" s="76">
        <f>'[2]BP-BACEN-2020'!$H$99</f>
        <v>3041</v>
      </c>
      <c r="D63" s="76">
        <f>'[3]BP-BACEN-2020'!$G$99</f>
        <v>3276</v>
      </c>
      <c r="E63" s="76">
        <f>'[4]BP-BACEN-2020'!$H$101</f>
        <v>3496</v>
      </c>
      <c r="F63" s="76">
        <f>'[5]BP-BACEN-2021'!$H$95</f>
        <v>3629</v>
      </c>
      <c r="G63" s="76">
        <f>'[6]BP-BACEN-2021'!$G$95</f>
        <v>3881</v>
      </c>
      <c r="H63" s="76">
        <f>'[7]BP-BACEN-2021'!$H$95</f>
        <v>3864</v>
      </c>
      <c r="I63" s="76">
        <f>'[8]BP-BACEN-2021'!$H$98</f>
        <v>4094</v>
      </c>
      <c r="J63" s="76">
        <f>'[9]BP-BACEN-2022'!$H$94</f>
        <v>4821</v>
      </c>
      <c r="K63" s="76">
        <v>5291</v>
      </c>
      <c r="L63" s="76">
        <v>5653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</row>
    <row r="64" spans="1:25" x14ac:dyDescent="0.45">
      <c r="A64" s="68" t="s">
        <v>279</v>
      </c>
      <c r="B64" s="76">
        <f>'[1]BP-BACEN-2020'!$H$100</f>
        <v>-1393</v>
      </c>
      <c r="C64" s="76">
        <f>'[2]BP-BACEN-2020'!$H$100</f>
        <v>-1360</v>
      </c>
      <c r="D64" s="76">
        <f>'[3]BP-BACEN-2020'!$G$100</f>
        <v>-1370</v>
      </c>
      <c r="E64" s="76">
        <f>'[4]BP-BACEN-2020'!$H$102</f>
        <v>-1384</v>
      </c>
      <c r="F64" s="76">
        <f>'[5]BP-BACEN-2021'!$H$96</f>
        <v>-1366</v>
      </c>
      <c r="G64" s="76">
        <f>'[6]BP-BACEN-2021'!$G$96</f>
        <v>-1393</v>
      </c>
      <c r="H64" s="76">
        <f>'[7]BP-BACEN-2021'!$H$96</f>
        <v>-1400</v>
      </c>
      <c r="I64" s="76">
        <f>'[8]BP-BACEN-2021'!$H$99</f>
        <v>-1405</v>
      </c>
      <c r="J64" s="76">
        <f>'[9]BP-BACEN-2022'!$H$95</f>
        <v>-1449</v>
      </c>
      <c r="K64" s="76">
        <v>-1458</v>
      </c>
      <c r="L64" s="76">
        <v>-1521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</row>
    <row r="65" spans="1:25" ht="6" customHeight="1" x14ac:dyDescent="0.45">
      <c r="A65" s="68"/>
    </row>
    <row r="66" spans="1:25" x14ac:dyDescent="0.45">
      <c r="A66" s="84" t="s">
        <v>377</v>
      </c>
      <c r="B66" s="85">
        <f t="shared" ref="B66:Y66" si="12">SUM(B67:B68)</f>
        <v>0</v>
      </c>
      <c r="C66" s="85">
        <f t="shared" si="12"/>
        <v>0</v>
      </c>
      <c r="D66" s="85">
        <f t="shared" si="12"/>
        <v>0</v>
      </c>
      <c r="E66" s="85">
        <f t="shared" si="12"/>
        <v>0</v>
      </c>
      <c r="F66" s="85">
        <f t="shared" si="12"/>
        <v>0</v>
      </c>
      <c r="G66" s="85">
        <f t="shared" si="12"/>
        <v>0</v>
      </c>
      <c r="H66" s="85">
        <f t="shared" si="12"/>
        <v>0</v>
      </c>
      <c r="I66" s="85">
        <f t="shared" si="12"/>
        <v>8881</v>
      </c>
      <c r="J66" s="85">
        <f t="shared" si="12"/>
        <v>8816</v>
      </c>
      <c r="K66" s="85">
        <f t="shared" si="12"/>
        <v>8732</v>
      </c>
      <c r="L66" s="85">
        <f t="shared" si="12"/>
        <v>8667</v>
      </c>
      <c r="M66" s="85">
        <f t="shared" si="12"/>
        <v>0</v>
      </c>
      <c r="N66" s="85">
        <f t="shared" si="12"/>
        <v>0</v>
      </c>
      <c r="O66" s="85">
        <f t="shared" si="12"/>
        <v>0</v>
      </c>
      <c r="P66" s="85">
        <f t="shared" si="12"/>
        <v>0</v>
      </c>
      <c r="Q66" s="85">
        <f t="shared" si="12"/>
        <v>0</v>
      </c>
      <c r="R66" s="85">
        <f t="shared" si="12"/>
        <v>0</v>
      </c>
      <c r="S66" s="85">
        <f t="shared" si="12"/>
        <v>0</v>
      </c>
      <c r="T66" s="85">
        <f t="shared" si="12"/>
        <v>0</v>
      </c>
      <c r="U66" s="85">
        <f t="shared" si="12"/>
        <v>0</v>
      </c>
      <c r="V66" s="85">
        <f t="shared" si="12"/>
        <v>0</v>
      </c>
      <c r="W66" s="85">
        <f t="shared" si="12"/>
        <v>0</v>
      </c>
      <c r="X66" s="85">
        <f t="shared" si="12"/>
        <v>0</v>
      </c>
      <c r="Y66" s="85">
        <f t="shared" si="12"/>
        <v>0</v>
      </c>
    </row>
    <row r="67" spans="1:25" x14ac:dyDescent="0.45">
      <c r="A67" s="68" t="s">
        <v>378</v>
      </c>
      <c r="B67" s="76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8">
        <f>'[9]BP-BACEN-2022'!$I$98</f>
        <v>9547</v>
      </c>
      <c r="J67" s="78">
        <f>'[9]BP-BACEN-2022'!$H$98</f>
        <v>9547</v>
      </c>
      <c r="K67" s="76">
        <v>9520</v>
      </c>
      <c r="L67" s="76">
        <v>9520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</row>
    <row r="68" spans="1:25" x14ac:dyDescent="0.45">
      <c r="A68" s="68" t="s">
        <v>367</v>
      </c>
      <c r="B68" s="76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8">
        <f>'[9]BP-BACEN-2022'!$I$99</f>
        <v>-666</v>
      </c>
      <c r="J68" s="78">
        <f>'[9]BP-BACEN-2022'!$H$99</f>
        <v>-731</v>
      </c>
      <c r="K68" s="76">
        <v>-788</v>
      </c>
      <c r="L68" s="76">
        <v>-853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</row>
    <row r="69" spans="1:25" ht="6" customHeight="1" x14ac:dyDescent="0.45">
      <c r="A69" s="68"/>
    </row>
    <row r="70" spans="1:25" x14ac:dyDescent="0.45">
      <c r="A70" s="66" t="s">
        <v>325</v>
      </c>
      <c r="B70" s="80">
        <f>SUM(B71:B73)</f>
        <v>150489</v>
      </c>
      <c r="C70" s="80">
        <f t="shared" ref="C70:Y70" si="13">SUM(C71:C73)</f>
        <v>176318</v>
      </c>
      <c r="D70" s="80">
        <f t="shared" si="13"/>
        <v>173063</v>
      </c>
      <c r="E70" s="80">
        <f t="shared" si="13"/>
        <v>176153</v>
      </c>
      <c r="F70" s="80">
        <f t="shared" si="13"/>
        <v>180076</v>
      </c>
      <c r="G70" s="80">
        <f t="shared" si="13"/>
        <v>182778</v>
      </c>
      <c r="H70" s="80">
        <f t="shared" si="13"/>
        <v>178895</v>
      </c>
      <c r="I70" s="80">
        <f t="shared" si="13"/>
        <v>162891</v>
      </c>
      <c r="J70" s="80">
        <f t="shared" si="13"/>
        <v>153444</v>
      </c>
      <c r="K70" s="80">
        <f t="shared" si="13"/>
        <v>149993</v>
      </c>
      <c r="L70" s="80">
        <f t="shared" si="13"/>
        <v>146159</v>
      </c>
      <c r="M70" s="80">
        <f t="shared" si="13"/>
        <v>0</v>
      </c>
      <c r="N70" s="80">
        <f t="shared" si="13"/>
        <v>0</v>
      </c>
      <c r="O70" s="80">
        <f t="shared" si="13"/>
        <v>0</v>
      </c>
      <c r="P70" s="80">
        <f t="shared" si="13"/>
        <v>0</v>
      </c>
      <c r="Q70" s="80">
        <f t="shared" si="13"/>
        <v>0</v>
      </c>
      <c r="R70" s="80">
        <f t="shared" si="13"/>
        <v>0</v>
      </c>
      <c r="S70" s="80">
        <f t="shared" si="13"/>
        <v>0</v>
      </c>
      <c r="T70" s="80">
        <f t="shared" si="13"/>
        <v>0</v>
      </c>
      <c r="U70" s="80">
        <f t="shared" si="13"/>
        <v>0</v>
      </c>
      <c r="V70" s="80">
        <f t="shared" si="13"/>
        <v>0</v>
      </c>
      <c r="W70" s="80">
        <f t="shared" si="13"/>
        <v>0</v>
      </c>
      <c r="X70" s="80">
        <f t="shared" si="13"/>
        <v>0</v>
      </c>
      <c r="Y70" s="80">
        <f t="shared" si="13"/>
        <v>0</v>
      </c>
    </row>
    <row r="71" spans="1:25" x14ac:dyDescent="0.45">
      <c r="A71" s="68" t="s">
        <v>280</v>
      </c>
      <c r="B71" s="76">
        <f>'[1]BP-BACEN-2020'!$H$103</f>
        <v>25598</v>
      </c>
      <c r="C71" s="76">
        <f>'[2]BP-BACEN-2020'!$H$103</f>
        <v>29662</v>
      </c>
      <c r="D71" s="76">
        <f>'[3]BP-BACEN-2020'!$G$103</f>
        <v>25672</v>
      </c>
      <c r="E71" s="76">
        <f>'[4]BP-BACEN-2020'!$H$105</f>
        <v>23922</v>
      </c>
      <c r="F71" s="76">
        <f>'[5]BP-BACEN-2021'!$H$99</f>
        <v>27857</v>
      </c>
      <c r="G71" s="76">
        <f>'[6]BP-BACEN-2021'!$G$99</f>
        <v>27857</v>
      </c>
      <c r="H71" s="76">
        <f>'[7]BP-BACEN-2021'!$H$99</f>
        <v>27823</v>
      </c>
      <c r="I71" s="78">
        <f>'[9]BP-BACEN-2022'!$I$102</f>
        <v>18309</v>
      </c>
      <c r="J71" s="78">
        <f>'[9]BP-BACEN-2022'!$H$102</f>
        <v>18309</v>
      </c>
      <c r="K71" s="76">
        <v>18310</v>
      </c>
      <c r="L71" s="76">
        <v>18261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</row>
    <row r="72" spans="1:25" x14ac:dyDescent="0.45">
      <c r="A72" s="68" t="s">
        <v>281</v>
      </c>
      <c r="B72" s="76">
        <f>'[1]BP-BACEN-2020'!$H$104</f>
        <v>267861</v>
      </c>
      <c r="C72" s="76">
        <f>'[2]BP-BACEN-2020'!$H$104</f>
        <v>296556</v>
      </c>
      <c r="D72" s="76">
        <f>'[3]BP-BACEN-2020'!$G$104</f>
        <v>304258</v>
      </c>
      <c r="E72" s="76">
        <f>'[4]BP-BACEN-2020'!$H$106</f>
        <v>316807</v>
      </c>
      <c r="F72" s="76">
        <f>'[5]BP-BACEN-2021'!$H$100</f>
        <v>325295</v>
      </c>
      <c r="G72" s="76">
        <f>'[6]BP-BACEN-2021'!$G$100</f>
        <v>336850</v>
      </c>
      <c r="H72" s="76">
        <f>'[7]BP-BACEN-2021'!$H$100</f>
        <v>342553</v>
      </c>
      <c r="I72" s="78">
        <f>'[9]BP-BACEN-2022'!$I$103</f>
        <v>342772</v>
      </c>
      <c r="J72" s="78">
        <f>'[9]BP-BACEN-2022'!$H$103</f>
        <v>341987</v>
      </c>
      <c r="K72" s="76">
        <v>341914</v>
      </c>
      <c r="L72" s="76">
        <v>339791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</row>
    <row r="73" spans="1:25" x14ac:dyDescent="0.45">
      <c r="A73" s="68" t="s">
        <v>367</v>
      </c>
      <c r="B73" s="76">
        <f>'[1]BP-BACEN-2020'!$H$105</f>
        <v>-142970</v>
      </c>
      <c r="C73" s="76">
        <f>'[2]BP-BACEN-2020'!$H$105</f>
        <v>-149900</v>
      </c>
      <c r="D73" s="76">
        <f>'[3]BP-BACEN-2020'!$G$105</f>
        <v>-156867</v>
      </c>
      <c r="E73" s="76">
        <f>'[4]BP-BACEN-2020'!$H$107</f>
        <v>-164576</v>
      </c>
      <c r="F73" s="76">
        <f>'[5]BP-BACEN-2021'!$H$101</f>
        <v>-173076</v>
      </c>
      <c r="G73" s="76">
        <f>'[6]BP-BACEN-2021'!$G$101</f>
        <v>-181929</v>
      </c>
      <c r="H73" s="76">
        <f>'[7]BP-BACEN-2021'!$H$101</f>
        <v>-191481</v>
      </c>
      <c r="I73" s="78">
        <f>'[9]BP-BACEN-2022'!$I$104</f>
        <v>-198190</v>
      </c>
      <c r="J73" s="78">
        <f>'[9]BP-BACEN-2022'!$H$104</f>
        <v>-206852</v>
      </c>
      <c r="K73" s="76">
        <v>-210231</v>
      </c>
      <c r="L73" s="76">
        <v>-211893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</row>
    <row r="74" spans="1:25" ht="6" customHeight="1" x14ac:dyDescent="0.45">
      <c r="A74" s="68"/>
    </row>
    <row r="75" spans="1:25" x14ac:dyDescent="0.45">
      <c r="A75" s="84" t="s">
        <v>282</v>
      </c>
      <c r="B75" s="85">
        <f>SUM(B76:B77)</f>
        <v>56685</v>
      </c>
      <c r="C75" s="85">
        <f t="shared" ref="C75:Y75" si="14">SUM(C76:C77)</f>
        <v>58905</v>
      </c>
      <c r="D75" s="85">
        <f t="shared" si="14"/>
        <v>66895</v>
      </c>
      <c r="E75" s="85">
        <f t="shared" si="14"/>
        <v>69262</v>
      </c>
      <c r="F75" s="85">
        <f t="shared" si="14"/>
        <v>69791</v>
      </c>
      <c r="G75" s="85">
        <f t="shared" si="14"/>
        <v>69666</v>
      </c>
      <c r="H75" s="85">
        <f t="shared" si="14"/>
        <v>82185</v>
      </c>
      <c r="I75" s="85">
        <f t="shared" si="14"/>
        <v>81720</v>
      </c>
      <c r="J75" s="85">
        <f t="shared" si="14"/>
        <v>81258</v>
      </c>
      <c r="K75" s="85">
        <f t="shared" si="14"/>
        <v>89893</v>
      </c>
      <c r="L75" s="85">
        <f t="shared" si="14"/>
        <v>92643</v>
      </c>
      <c r="M75" s="85">
        <f t="shared" si="14"/>
        <v>0</v>
      </c>
      <c r="N75" s="85">
        <f t="shared" si="14"/>
        <v>0</v>
      </c>
      <c r="O75" s="85">
        <f t="shared" si="14"/>
        <v>0</v>
      </c>
      <c r="P75" s="85">
        <f t="shared" si="14"/>
        <v>0</v>
      </c>
      <c r="Q75" s="85">
        <f t="shared" si="14"/>
        <v>0</v>
      </c>
      <c r="R75" s="85">
        <f t="shared" si="14"/>
        <v>0</v>
      </c>
      <c r="S75" s="85">
        <f t="shared" si="14"/>
        <v>0</v>
      </c>
      <c r="T75" s="85">
        <f t="shared" si="14"/>
        <v>0</v>
      </c>
      <c r="U75" s="85">
        <f t="shared" si="14"/>
        <v>0</v>
      </c>
      <c r="V75" s="85">
        <f t="shared" si="14"/>
        <v>0</v>
      </c>
      <c r="W75" s="85">
        <f t="shared" si="14"/>
        <v>0</v>
      </c>
      <c r="X75" s="85">
        <f t="shared" si="14"/>
        <v>0</v>
      </c>
      <c r="Y75" s="85">
        <f t="shared" si="14"/>
        <v>0</v>
      </c>
    </row>
    <row r="76" spans="1:25" x14ac:dyDescent="0.45">
      <c r="A76" s="68" t="s">
        <v>300</v>
      </c>
      <c r="B76" s="76">
        <f>'[1]BP-BACEN-2020'!$H$108</f>
        <v>145002</v>
      </c>
      <c r="C76" s="76">
        <f>'[2]BP-BACEN-2020'!$H$108</f>
        <v>151732</v>
      </c>
      <c r="D76" s="76">
        <f>'[3]BP-BACEN-2020'!$G$108</f>
        <v>164333</v>
      </c>
      <c r="E76" s="76">
        <f>'[4]BP-BACEN-2020'!$H$110</f>
        <v>171408</v>
      </c>
      <c r="F76" s="76">
        <f>'[5]BP-BACEN-2021'!$H$104</f>
        <v>176916</v>
      </c>
      <c r="G76" s="76">
        <f>'[6]BP-BACEN-2021'!$G$104</f>
        <v>179319</v>
      </c>
      <c r="H76" s="76">
        <f>'[7]BP-BACEN-2021'!$H$104</f>
        <v>197280</v>
      </c>
      <c r="I76" s="76">
        <f>'[8]BP-BACEN-2021'!$H$107</f>
        <v>196129</v>
      </c>
      <c r="J76" s="76">
        <f>'[9]BP-BACEN-2022'!$H$107</f>
        <v>202392</v>
      </c>
      <c r="K76" s="76">
        <v>209492</v>
      </c>
      <c r="L76" s="76">
        <v>218743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</row>
    <row r="77" spans="1:25" x14ac:dyDescent="0.45">
      <c r="A77" s="68" t="s">
        <v>283</v>
      </c>
      <c r="B77" s="76">
        <f>'[1]BP-BACEN-2020'!$H$109</f>
        <v>-88317</v>
      </c>
      <c r="C77" s="76">
        <f>'[2]BP-BACEN-2020'!$H$109</f>
        <v>-92827</v>
      </c>
      <c r="D77" s="76">
        <f>'[3]BP-BACEN-2020'!$G$109</f>
        <v>-97438</v>
      </c>
      <c r="E77" s="76">
        <f>'[4]BP-BACEN-2020'!$H$111</f>
        <v>-102146</v>
      </c>
      <c r="F77" s="76">
        <f>'[5]BP-BACEN-2021'!$H$105</f>
        <v>-107125</v>
      </c>
      <c r="G77" s="76">
        <f>'[6]BP-BACEN-2021'!$G$105</f>
        <v>-109653</v>
      </c>
      <c r="H77" s="76">
        <f>'[7]BP-BACEN-2021'!$H$105</f>
        <v>-115095</v>
      </c>
      <c r="I77" s="76">
        <f>'[8]BP-BACEN-2021'!$H$108</f>
        <v>-114409</v>
      </c>
      <c r="J77" s="76">
        <f>'[9]BP-BACEN-2022'!$H$108</f>
        <v>-121134</v>
      </c>
      <c r="K77" s="76">
        <v>-119599</v>
      </c>
      <c r="L77" s="76">
        <v>-126100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</row>
    <row r="78" spans="1:25" ht="6" customHeight="1" x14ac:dyDescent="0.45">
      <c r="A78" s="68"/>
    </row>
    <row r="79" spans="1:25" x14ac:dyDescent="0.45">
      <c r="A79" s="86" t="s">
        <v>166</v>
      </c>
      <c r="B79" s="87">
        <f t="shared" ref="B79:Y79" si="15">B12+B14+B38+B42+B62+B66+B70+B75</f>
        <v>10087527</v>
      </c>
      <c r="C79" s="87">
        <f t="shared" si="15"/>
        <v>10747166</v>
      </c>
      <c r="D79" s="87">
        <f t="shared" si="15"/>
        <v>10158015</v>
      </c>
      <c r="E79" s="87">
        <f t="shared" si="15"/>
        <v>10718363</v>
      </c>
      <c r="F79" s="87">
        <f t="shared" si="15"/>
        <v>10730786</v>
      </c>
      <c r="G79" s="87">
        <f t="shared" si="15"/>
        <v>11530824</v>
      </c>
      <c r="H79" s="87">
        <f t="shared" si="15"/>
        <v>11950964</v>
      </c>
      <c r="I79" s="87">
        <f t="shared" si="15"/>
        <v>12423365</v>
      </c>
      <c r="J79" s="87">
        <f t="shared" si="15"/>
        <v>13041042</v>
      </c>
      <c r="K79" s="87">
        <f t="shared" si="15"/>
        <v>14348764</v>
      </c>
      <c r="L79" s="87">
        <f t="shared" si="15"/>
        <v>14329731</v>
      </c>
      <c r="M79" s="87">
        <f t="shared" si="15"/>
        <v>0</v>
      </c>
      <c r="N79" s="87">
        <f t="shared" si="15"/>
        <v>0</v>
      </c>
      <c r="O79" s="87">
        <f t="shared" si="15"/>
        <v>0</v>
      </c>
      <c r="P79" s="87">
        <f t="shared" si="15"/>
        <v>0</v>
      </c>
      <c r="Q79" s="87">
        <f t="shared" si="15"/>
        <v>0</v>
      </c>
      <c r="R79" s="87">
        <f t="shared" si="15"/>
        <v>0</v>
      </c>
      <c r="S79" s="87">
        <f t="shared" si="15"/>
        <v>0</v>
      </c>
      <c r="T79" s="87">
        <f t="shared" si="15"/>
        <v>0</v>
      </c>
      <c r="U79" s="87">
        <f t="shared" si="15"/>
        <v>0</v>
      </c>
      <c r="V79" s="87">
        <f t="shared" si="15"/>
        <v>0</v>
      </c>
      <c r="W79" s="87">
        <f t="shared" si="15"/>
        <v>0</v>
      </c>
      <c r="X79" s="87">
        <f t="shared" si="15"/>
        <v>0</v>
      </c>
      <c r="Y79" s="87">
        <f t="shared" si="15"/>
        <v>0</v>
      </c>
    </row>
    <row r="80" spans="1:25" ht="6" customHeight="1" x14ac:dyDescent="0.45">
      <c r="A80" s="68"/>
    </row>
    <row r="81" spans="1:25" x14ac:dyDescent="0.45">
      <c r="A81" s="66" t="s">
        <v>125</v>
      </c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</row>
    <row r="82" spans="1:25" ht="6" customHeight="1" x14ac:dyDescent="0.45">
      <c r="A82" s="68" t="s">
        <v>124</v>
      </c>
    </row>
    <row r="83" spans="1:25" x14ac:dyDescent="0.45">
      <c r="A83" s="66" t="s">
        <v>326</v>
      </c>
      <c r="B83" s="80">
        <f t="shared" ref="B83:Y83" si="16">B84+B90+B92+B94+B98+B101+B102+B103+B104</f>
        <v>8285060</v>
      </c>
      <c r="C83" s="80">
        <f t="shared" si="16"/>
        <v>8806253</v>
      </c>
      <c r="D83" s="80">
        <f t="shared" si="16"/>
        <v>8265753</v>
      </c>
      <c r="E83" s="80">
        <f t="shared" si="16"/>
        <v>8763600</v>
      </c>
      <c r="F83" s="80">
        <f t="shared" si="16"/>
        <v>8686310</v>
      </c>
      <c r="G83" s="80">
        <f t="shared" si="16"/>
        <v>9359601</v>
      </c>
      <c r="H83" s="80">
        <f t="shared" si="16"/>
        <v>9740142</v>
      </c>
      <c r="I83" s="80">
        <f t="shared" si="16"/>
        <v>10233617</v>
      </c>
      <c r="J83" s="80">
        <f t="shared" si="16"/>
        <v>10772695</v>
      </c>
      <c r="K83" s="80">
        <f t="shared" si="16"/>
        <v>11964533</v>
      </c>
      <c r="L83" s="80">
        <f t="shared" si="16"/>
        <v>12033542</v>
      </c>
      <c r="M83" s="80">
        <f t="shared" si="16"/>
        <v>0</v>
      </c>
      <c r="N83" s="80">
        <f t="shared" si="16"/>
        <v>0</v>
      </c>
      <c r="O83" s="80">
        <f t="shared" si="16"/>
        <v>0</v>
      </c>
      <c r="P83" s="80">
        <f t="shared" si="16"/>
        <v>0</v>
      </c>
      <c r="Q83" s="80">
        <f t="shared" si="16"/>
        <v>0</v>
      </c>
      <c r="R83" s="80">
        <f t="shared" si="16"/>
        <v>0</v>
      </c>
      <c r="S83" s="80">
        <f t="shared" si="16"/>
        <v>0</v>
      </c>
      <c r="T83" s="80">
        <f t="shared" si="16"/>
        <v>0</v>
      </c>
      <c r="U83" s="80">
        <f t="shared" si="16"/>
        <v>0</v>
      </c>
      <c r="V83" s="80">
        <f t="shared" si="16"/>
        <v>0</v>
      </c>
      <c r="W83" s="80">
        <f t="shared" si="16"/>
        <v>0</v>
      </c>
      <c r="X83" s="80">
        <f t="shared" si="16"/>
        <v>0</v>
      </c>
      <c r="Y83" s="80">
        <f t="shared" si="16"/>
        <v>0</v>
      </c>
    </row>
    <row r="84" spans="1:25" s="62" customFormat="1" x14ac:dyDescent="0.45">
      <c r="A84" s="68" t="s">
        <v>327</v>
      </c>
      <c r="B84" s="81">
        <f>SUM(B85:B89)</f>
        <v>6674461</v>
      </c>
      <c r="C84" s="81">
        <f t="shared" ref="C84:Y84" si="17">SUM(C85:C89)</f>
        <v>7409235</v>
      </c>
      <c r="D84" s="81">
        <f t="shared" si="17"/>
        <v>7611601</v>
      </c>
      <c r="E84" s="81">
        <f t="shared" si="17"/>
        <v>8035003</v>
      </c>
      <c r="F84" s="81">
        <f t="shared" si="17"/>
        <v>7933861</v>
      </c>
      <c r="G84" s="81">
        <f t="shared" si="17"/>
        <v>8688226</v>
      </c>
      <c r="H84" s="81">
        <f t="shared" si="17"/>
        <v>9069616</v>
      </c>
      <c r="I84" s="81">
        <f t="shared" si="17"/>
        <v>9231014</v>
      </c>
      <c r="J84" s="81">
        <f t="shared" si="17"/>
        <v>9527591</v>
      </c>
      <c r="K84" s="81">
        <f t="shared" si="17"/>
        <v>10274519</v>
      </c>
      <c r="L84" s="81">
        <f t="shared" si="17"/>
        <v>10332640</v>
      </c>
      <c r="M84" s="81">
        <f t="shared" si="17"/>
        <v>0</v>
      </c>
      <c r="N84" s="81">
        <f t="shared" si="17"/>
        <v>0</v>
      </c>
      <c r="O84" s="81">
        <f t="shared" si="17"/>
        <v>0</v>
      </c>
      <c r="P84" s="81">
        <f t="shared" si="17"/>
        <v>0</v>
      </c>
      <c r="Q84" s="81">
        <f t="shared" si="17"/>
        <v>0</v>
      </c>
      <c r="R84" s="81">
        <f t="shared" si="17"/>
        <v>0</v>
      </c>
      <c r="S84" s="81">
        <f t="shared" si="17"/>
        <v>0</v>
      </c>
      <c r="T84" s="81">
        <f t="shared" si="17"/>
        <v>0</v>
      </c>
      <c r="U84" s="81">
        <f t="shared" si="17"/>
        <v>0</v>
      </c>
      <c r="V84" s="81">
        <f t="shared" si="17"/>
        <v>0</v>
      </c>
      <c r="W84" s="81">
        <f t="shared" si="17"/>
        <v>0</v>
      </c>
      <c r="X84" s="81">
        <f t="shared" si="17"/>
        <v>0</v>
      </c>
      <c r="Y84" s="81">
        <f t="shared" si="17"/>
        <v>0</v>
      </c>
    </row>
    <row r="85" spans="1:25" x14ac:dyDescent="0.45">
      <c r="A85" s="74" t="s">
        <v>284</v>
      </c>
      <c r="B85" s="76">
        <v>322715</v>
      </c>
      <c r="C85" s="76">
        <v>399125</v>
      </c>
      <c r="D85" s="76">
        <v>389805</v>
      </c>
      <c r="E85" s="76">
        <v>443055</v>
      </c>
      <c r="F85" s="76">
        <v>456121</v>
      </c>
      <c r="G85" s="76">
        <v>494062</v>
      </c>
      <c r="H85" s="76">
        <v>444334</v>
      </c>
      <c r="I85" s="76">
        <v>480750</v>
      </c>
      <c r="J85" s="76">
        <v>497008</v>
      </c>
      <c r="K85" s="76">
        <v>513369</v>
      </c>
      <c r="L85" s="76">
        <v>541721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</row>
    <row r="86" spans="1:25" x14ac:dyDescent="0.45">
      <c r="A86" s="74" t="s">
        <v>285</v>
      </c>
      <c r="B86" s="76">
        <v>201079</v>
      </c>
      <c r="C86" s="76">
        <v>222429</v>
      </c>
      <c r="D86" s="76">
        <v>233045</v>
      </c>
      <c r="E86" s="76">
        <v>232987</v>
      </c>
      <c r="F86" s="76">
        <v>231896</v>
      </c>
      <c r="G86" s="76">
        <v>238444</v>
      </c>
      <c r="H86" s="76">
        <v>226583</v>
      </c>
      <c r="I86" s="76">
        <v>226084</v>
      </c>
      <c r="J86" s="76">
        <v>218273</v>
      </c>
      <c r="K86" s="76">
        <v>220749</v>
      </c>
      <c r="L86" s="76">
        <v>202442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</row>
    <row r="87" spans="1:25" x14ac:dyDescent="0.45">
      <c r="A87" s="74" t="s">
        <v>286</v>
      </c>
      <c r="B87" s="76">
        <v>96853</v>
      </c>
      <c r="C87" s="76">
        <v>116902</v>
      </c>
      <c r="D87" s="76">
        <v>26474</v>
      </c>
      <c r="E87" s="76">
        <v>26753</v>
      </c>
      <c r="F87" s="76">
        <v>67840</v>
      </c>
      <c r="G87" s="76">
        <v>198628</v>
      </c>
      <c r="H87" s="76">
        <v>229842</v>
      </c>
      <c r="I87" s="76">
        <v>235048</v>
      </c>
      <c r="J87" s="76">
        <v>188481</v>
      </c>
      <c r="K87" s="76">
        <v>195074</v>
      </c>
      <c r="L87" s="76">
        <v>139047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</row>
    <row r="88" spans="1:25" x14ac:dyDescent="0.45">
      <c r="A88" s="74" t="s">
        <v>287</v>
      </c>
      <c r="B88" s="76">
        <v>6053814</v>
      </c>
      <c r="C88" s="76">
        <v>6670779</v>
      </c>
      <c r="D88" s="76">
        <v>6962277</v>
      </c>
      <c r="E88" s="76">
        <v>7332208</v>
      </c>
      <c r="F88" s="76">
        <v>7172921</v>
      </c>
      <c r="G88" s="76">
        <v>7751725</v>
      </c>
      <c r="H88" s="76">
        <v>8165726</v>
      </c>
      <c r="I88" s="76">
        <v>8285956</v>
      </c>
      <c r="J88" s="76">
        <v>8620937</v>
      </c>
      <c r="K88" s="76">
        <v>9344320</v>
      </c>
      <c r="L88" s="76">
        <v>9447053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</row>
    <row r="89" spans="1:25" x14ac:dyDescent="0.45">
      <c r="A89" s="74" t="s">
        <v>368</v>
      </c>
      <c r="B89" s="76">
        <v>0</v>
      </c>
      <c r="C89" s="76">
        <v>0</v>
      </c>
      <c r="D89" s="76">
        <v>0</v>
      </c>
      <c r="E89" s="76">
        <v>0</v>
      </c>
      <c r="F89" s="76">
        <v>5083</v>
      </c>
      <c r="G89" s="76">
        <v>5367</v>
      </c>
      <c r="H89" s="76">
        <v>3131</v>
      </c>
      <c r="I89" s="76">
        <v>3176</v>
      </c>
      <c r="J89" s="76">
        <v>2892</v>
      </c>
      <c r="K89" s="76">
        <v>1007</v>
      </c>
      <c r="L89" s="76">
        <v>2377</v>
      </c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</row>
    <row r="90" spans="1:25" x14ac:dyDescent="0.45">
      <c r="A90" s="68" t="s">
        <v>328</v>
      </c>
      <c r="B90" s="77">
        <f t="shared" ref="B90:Y90" si="18">B91</f>
        <v>297751</v>
      </c>
      <c r="C90" s="77">
        <f t="shared" si="18"/>
        <v>100903</v>
      </c>
      <c r="D90" s="77">
        <f t="shared" si="18"/>
        <v>65902</v>
      </c>
      <c r="E90" s="77">
        <f t="shared" si="18"/>
        <v>146853</v>
      </c>
      <c r="F90" s="77">
        <f t="shared" si="18"/>
        <v>169896</v>
      </c>
      <c r="G90" s="77">
        <f t="shared" si="18"/>
        <v>74108</v>
      </c>
      <c r="H90" s="77">
        <f t="shared" si="18"/>
        <v>71416</v>
      </c>
      <c r="I90" s="77">
        <f t="shared" si="18"/>
        <v>106216</v>
      </c>
      <c r="J90" s="77">
        <f t="shared" si="18"/>
        <v>70020</v>
      </c>
      <c r="K90" s="77">
        <f t="shared" si="18"/>
        <v>51357</v>
      </c>
      <c r="L90" s="77">
        <f t="shared" si="18"/>
        <v>59371</v>
      </c>
      <c r="M90" s="77">
        <f t="shared" si="18"/>
        <v>0</v>
      </c>
      <c r="N90" s="77">
        <f t="shared" si="18"/>
        <v>0</v>
      </c>
      <c r="O90" s="77">
        <f t="shared" si="18"/>
        <v>0</v>
      </c>
      <c r="P90" s="77">
        <f t="shared" si="18"/>
        <v>0</v>
      </c>
      <c r="Q90" s="77">
        <f t="shared" si="18"/>
        <v>0</v>
      </c>
      <c r="R90" s="77">
        <f t="shared" si="18"/>
        <v>0</v>
      </c>
      <c r="S90" s="77">
        <f t="shared" si="18"/>
        <v>0</v>
      </c>
      <c r="T90" s="77">
        <f t="shared" si="18"/>
        <v>0</v>
      </c>
      <c r="U90" s="77">
        <f t="shared" si="18"/>
        <v>0</v>
      </c>
      <c r="V90" s="77">
        <f t="shared" si="18"/>
        <v>0</v>
      </c>
      <c r="W90" s="77">
        <f t="shared" si="18"/>
        <v>0</v>
      </c>
      <c r="X90" s="77">
        <f t="shared" si="18"/>
        <v>0</v>
      </c>
      <c r="Y90" s="77">
        <f t="shared" si="18"/>
        <v>0</v>
      </c>
    </row>
    <row r="91" spans="1:25" x14ac:dyDescent="0.45">
      <c r="A91" s="74" t="s">
        <v>288</v>
      </c>
      <c r="B91" s="76">
        <v>297751</v>
      </c>
      <c r="C91" s="76">
        <v>100903</v>
      </c>
      <c r="D91" s="76">
        <v>65902</v>
      </c>
      <c r="E91" s="76">
        <v>146853</v>
      </c>
      <c r="F91" s="76">
        <v>169896</v>
      </c>
      <c r="G91" s="76">
        <v>74108</v>
      </c>
      <c r="H91" s="76">
        <v>71416</v>
      </c>
      <c r="I91" s="76">
        <v>106216</v>
      </c>
      <c r="J91" s="76">
        <v>70020</v>
      </c>
      <c r="K91" s="76">
        <v>51357</v>
      </c>
      <c r="L91" s="76">
        <v>59371</v>
      </c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</row>
    <row r="92" spans="1:25" x14ac:dyDescent="0.45">
      <c r="A92" s="68" t="s">
        <v>329</v>
      </c>
      <c r="B92" s="77">
        <f t="shared" ref="B92:Y92" si="19">B93</f>
        <v>154510</v>
      </c>
      <c r="C92" s="77">
        <f t="shared" si="19"/>
        <v>105565</v>
      </c>
      <c r="D92" s="77">
        <f t="shared" si="19"/>
        <v>86806</v>
      </c>
      <c r="E92" s="77">
        <f t="shared" si="19"/>
        <v>88495</v>
      </c>
      <c r="F92" s="77">
        <f t="shared" si="19"/>
        <v>84982</v>
      </c>
      <c r="G92" s="77">
        <f t="shared" si="19"/>
        <v>77860</v>
      </c>
      <c r="H92" s="77">
        <f t="shared" si="19"/>
        <v>73727</v>
      </c>
      <c r="I92" s="77">
        <f t="shared" si="19"/>
        <v>92029</v>
      </c>
      <c r="J92" s="77">
        <f t="shared" si="19"/>
        <v>116104</v>
      </c>
      <c r="K92" s="77">
        <f t="shared" si="19"/>
        <v>126394</v>
      </c>
      <c r="L92" s="77">
        <f t="shared" si="19"/>
        <v>126282</v>
      </c>
      <c r="M92" s="77">
        <f t="shared" si="19"/>
        <v>0</v>
      </c>
      <c r="N92" s="77">
        <f t="shared" si="19"/>
        <v>0</v>
      </c>
      <c r="O92" s="77">
        <f t="shared" si="19"/>
        <v>0</v>
      </c>
      <c r="P92" s="77">
        <f t="shared" si="19"/>
        <v>0</v>
      </c>
      <c r="Q92" s="77">
        <f t="shared" si="19"/>
        <v>0</v>
      </c>
      <c r="R92" s="77">
        <f t="shared" si="19"/>
        <v>0</v>
      </c>
      <c r="S92" s="77">
        <f t="shared" si="19"/>
        <v>0</v>
      </c>
      <c r="T92" s="77">
        <f t="shared" si="19"/>
        <v>0</v>
      </c>
      <c r="U92" s="77">
        <f t="shared" si="19"/>
        <v>0</v>
      </c>
      <c r="V92" s="77">
        <f t="shared" si="19"/>
        <v>0</v>
      </c>
      <c r="W92" s="77">
        <f t="shared" si="19"/>
        <v>0</v>
      </c>
      <c r="X92" s="77">
        <f t="shared" si="19"/>
        <v>0</v>
      </c>
      <c r="Y92" s="77">
        <f t="shared" si="19"/>
        <v>0</v>
      </c>
    </row>
    <row r="93" spans="1:25" x14ac:dyDescent="0.45">
      <c r="A93" s="74" t="s">
        <v>289</v>
      </c>
      <c r="B93" s="76">
        <v>154510</v>
      </c>
      <c r="C93" s="76">
        <v>105565</v>
      </c>
      <c r="D93" s="76">
        <v>86806</v>
      </c>
      <c r="E93" s="76">
        <v>88495</v>
      </c>
      <c r="F93" s="76">
        <v>84982</v>
      </c>
      <c r="G93" s="76">
        <v>77860</v>
      </c>
      <c r="H93" s="76">
        <v>73727</v>
      </c>
      <c r="I93" s="76">
        <v>92029</v>
      </c>
      <c r="J93" s="76">
        <v>116104</v>
      </c>
      <c r="K93" s="76">
        <v>126394</v>
      </c>
      <c r="L93" s="76">
        <v>126282</v>
      </c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</row>
    <row r="94" spans="1:25" x14ac:dyDescent="0.45">
      <c r="A94" s="68" t="s">
        <v>309</v>
      </c>
      <c r="B94" s="77">
        <f>B95+B96+B97</f>
        <v>11236</v>
      </c>
      <c r="C94" s="77">
        <f t="shared" ref="C94:Y94" si="20">C95+C96+C97</f>
        <v>15367</v>
      </c>
      <c r="D94" s="77">
        <f t="shared" si="20"/>
        <v>56626</v>
      </c>
      <c r="E94" s="77">
        <f t="shared" si="20"/>
        <v>56271</v>
      </c>
      <c r="F94" s="77">
        <f t="shared" si="20"/>
        <v>70543</v>
      </c>
      <c r="G94" s="77">
        <f t="shared" si="20"/>
        <v>84546</v>
      </c>
      <c r="H94" s="77">
        <f t="shared" si="20"/>
        <v>87934</v>
      </c>
      <c r="I94" s="77">
        <f t="shared" si="20"/>
        <v>124225</v>
      </c>
      <c r="J94" s="77">
        <f t="shared" si="20"/>
        <v>98761</v>
      </c>
      <c r="K94" s="77">
        <f t="shared" si="20"/>
        <v>109383</v>
      </c>
      <c r="L94" s="77">
        <f t="shared" si="20"/>
        <v>111938</v>
      </c>
      <c r="M94" s="77">
        <f t="shared" si="20"/>
        <v>0</v>
      </c>
      <c r="N94" s="77">
        <f t="shared" si="20"/>
        <v>0</v>
      </c>
      <c r="O94" s="77">
        <f t="shared" si="20"/>
        <v>0</v>
      </c>
      <c r="P94" s="77">
        <f t="shared" si="20"/>
        <v>0</v>
      </c>
      <c r="Q94" s="77">
        <f t="shared" si="20"/>
        <v>0</v>
      </c>
      <c r="R94" s="77">
        <f t="shared" si="20"/>
        <v>0</v>
      </c>
      <c r="S94" s="77">
        <f t="shared" si="20"/>
        <v>0</v>
      </c>
      <c r="T94" s="77">
        <f t="shared" si="20"/>
        <v>0</v>
      </c>
      <c r="U94" s="77">
        <f t="shared" si="20"/>
        <v>0</v>
      </c>
      <c r="V94" s="77">
        <f t="shared" si="20"/>
        <v>0</v>
      </c>
      <c r="W94" s="77">
        <f t="shared" si="20"/>
        <v>0</v>
      </c>
      <c r="X94" s="77">
        <f t="shared" si="20"/>
        <v>0</v>
      </c>
      <c r="Y94" s="77">
        <f t="shared" si="20"/>
        <v>0</v>
      </c>
    </row>
    <row r="95" spans="1:25" x14ac:dyDescent="0.45">
      <c r="A95" s="74" t="s">
        <v>290</v>
      </c>
      <c r="B95" s="76">
        <v>9325</v>
      </c>
      <c r="C95" s="76">
        <v>14200</v>
      </c>
      <c r="D95" s="76">
        <v>54084</v>
      </c>
      <c r="E95" s="76">
        <v>49304</v>
      </c>
      <c r="F95" s="76">
        <v>61587</v>
      </c>
      <c r="G95" s="76">
        <v>71736</v>
      </c>
      <c r="H95" s="76">
        <v>76909</v>
      </c>
      <c r="I95" s="76">
        <v>65027</v>
      </c>
      <c r="J95" s="76">
        <v>75841</v>
      </c>
      <c r="K95" s="76">
        <v>85889</v>
      </c>
      <c r="L95" s="76">
        <v>83167</v>
      </c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</row>
    <row r="96" spans="1:25" x14ac:dyDescent="0.45">
      <c r="A96" s="74" t="s">
        <v>363</v>
      </c>
      <c r="B96" s="76">
        <v>0</v>
      </c>
      <c r="C96" s="76">
        <v>0</v>
      </c>
      <c r="D96" s="76">
        <v>0</v>
      </c>
      <c r="E96" s="76">
        <v>4003</v>
      </c>
      <c r="F96" s="76">
        <v>2143</v>
      </c>
      <c r="G96" s="76">
        <v>0</v>
      </c>
      <c r="H96" s="76">
        <v>0</v>
      </c>
      <c r="I96" s="76">
        <v>30180</v>
      </c>
      <c r="J96" s="76">
        <v>0</v>
      </c>
      <c r="K96" s="76">
        <v>0</v>
      </c>
      <c r="L96" s="76">
        <v>13012</v>
      </c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</row>
    <row r="97" spans="1:25" x14ac:dyDescent="0.45">
      <c r="A97" s="74" t="s">
        <v>269</v>
      </c>
      <c r="B97" s="76">
        <v>1911</v>
      </c>
      <c r="C97" s="76">
        <v>1167</v>
      </c>
      <c r="D97" s="76">
        <v>2542</v>
      </c>
      <c r="E97" s="76">
        <v>2964</v>
      </c>
      <c r="F97" s="76">
        <v>6813</v>
      </c>
      <c r="G97" s="76">
        <v>12810</v>
      </c>
      <c r="H97" s="76">
        <v>11025</v>
      </c>
      <c r="I97" s="76">
        <v>29018</v>
      </c>
      <c r="J97" s="76">
        <v>22920</v>
      </c>
      <c r="K97" s="76">
        <v>23494</v>
      </c>
      <c r="L97" s="76">
        <v>15759</v>
      </c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</row>
    <row r="98" spans="1:25" x14ac:dyDescent="0.45">
      <c r="A98" s="68" t="s">
        <v>311</v>
      </c>
      <c r="B98" s="77">
        <f t="shared" ref="B98:Y98" si="21">B99+B100</f>
        <v>4475</v>
      </c>
      <c r="C98" s="77">
        <f t="shared" si="21"/>
        <v>5487</v>
      </c>
      <c r="D98" s="77">
        <f t="shared" si="21"/>
        <v>15884</v>
      </c>
      <c r="E98" s="77">
        <f t="shared" si="21"/>
        <v>16758</v>
      </c>
      <c r="F98" s="77">
        <f t="shared" si="21"/>
        <v>3605</v>
      </c>
      <c r="G98" s="77">
        <f t="shared" si="21"/>
        <v>6059</v>
      </c>
      <c r="H98" s="77">
        <f t="shared" si="21"/>
        <v>3854</v>
      </c>
      <c r="I98" s="77">
        <f t="shared" si="21"/>
        <v>15670</v>
      </c>
      <c r="J98" s="77">
        <f t="shared" si="21"/>
        <v>2553</v>
      </c>
      <c r="K98" s="77">
        <f t="shared" si="21"/>
        <v>2959</v>
      </c>
      <c r="L98" s="77">
        <f t="shared" si="21"/>
        <v>2861</v>
      </c>
      <c r="M98" s="77">
        <f t="shared" si="21"/>
        <v>0</v>
      </c>
      <c r="N98" s="77">
        <f t="shared" si="21"/>
        <v>0</v>
      </c>
      <c r="O98" s="77">
        <f t="shared" si="21"/>
        <v>0</v>
      </c>
      <c r="P98" s="77">
        <f t="shared" si="21"/>
        <v>0</v>
      </c>
      <c r="Q98" s="77">
        <f t="shared" si="21"/>
        <v>0</v>
      </c>
      <c r="R98" s="77">
        <f t="shared" si="21"/>
        <v>0</v>
      </c>
      <c r="S98" s="77">
        <f t="shared" si="21"/>
        <v>0</v>
      </c>
      <c r="T98" s="77">
        <f t="shared" si="21"/>
        <v>0</v>
      </c>
      <c r="U98" s="77">
        <f t="shared" si="21"/>
        <v>0</v>
      </c>
      <c r="V98" s="77">
        <f t="shared" si="21"/>
        <v>0</v>
      </c>
      <c r="W98" s="77">
        <f t="shared" si="21"/>
        <v>0</v>
      </c>
      <c r="X98" s="77">
        <f t="shared" si="21"/>
        <v>0</v>
      </c>
      <c r="Y98" s="77">
        <f t="shared" si="21"/>
        <v>0</v>
      </c>
    </row>
    <row r="99" spans="1:25" x14ac:dyDescent="0.45">
      <c r="A99" s="74" t="s">
        <v>291</v>
      </c>
      <c r="B99" s="76">
        <v>4475</v>
      </c>
      <c r="C99" s="76">
        <v>5487</v>
      </c>
      <c r="D99" s="76">
        <v>15675</v>
      </c>
      <c r="E99" s="76">
        <v>16758</v>
      </c>
      <c r="F99" s="76">
        <v>3605</v>
      </c>
      <c r="G99" s="76">
        <v>6059</v>
      </c>
      <c r="H99" s="76">
        <v>3854</v>
      </c>
      <c r="I99" s="76">
        <v>15670</v>
      </c>
      <c r="J99" s="76">
        <v>2553</v>
      </c>
      <c r="K99" s="76">
        <v>2948</v>
      </c>
      <c r="L99" s="76">
        <v>2861</v>
      </c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</row>
    <row r="100" spans="1:25" x14ac:dyDescent="0.45">
      <c r="A100" s="74" t="s">
        <v>270</v>
      </c>
      <c r="B100" s="76">
        <v>0</v>
      </c>
      <c r="C100" s="76">
        <v>0</v>
      </c>
      <c r="D100" s="76">
        <v>209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6">
        <v>11</v>
      </c>
      <c r="L100" s="76">
        <v>0</v>
      </c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</row>
    <row r="101" spans="1:25" s="73" customFormat="1" x14ac:dyDescent="0.45">
      <c r="A101" s="68" t="s">
        <v>330</v>
      </c>
      <c r="B101" s="77">
        <v>2810</v>
      </c>
      <c r="C101" s="77">
        <v>2700</v>
      </c>
      <c r="D101" s="77">
        <v>2962</v>
      </c>
      <c r="E101" s="77">
        <v>2964</v>
      </c>
      <c r="F101" s="77">
        <v>3017</v>
      </c>
      <c r="G101" s="77">
        <v>3042</v>
      </c>
      <c r="H101" s="77">
        <v>3047</v>
      </c>
      <c r="I101" s="77">
        <v>2778</v>
      </c>
      <c r="J101" s="77">
        <v>2247</v>
      </c>
      <c r="K101" s="77">
        <v>2286</v>
      </c>
      <c r="L101" s="77">
        <v>2248</v>
      </c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</row>
    <row r="102" spans="1:25" s="73" customFormat="1" x14ac:dyDescent="0.45">
      <c r="A102" s="68" t="s">
        <v>331</v>
      </c>
      <c r="B102" s="77">
        <v>19434</v>
      </c>
      <c r="C102" s="77">
        <v>14128</v>
      </c>
      <c r="D102" s="77">
        <v>9091</v>
      </c>
      <c r="E102" s="77">
        <v>0</v>
      </c>
      <c r="F102" s="77">
        <v>0</v>
      </c>
      <c r="G102" s="77">
        <v>0</v>
      </c>
      <c r="H102" s="77">
        <v>0</v>
      </c>
      <c r="I102" s="77">
        <v>226402</v>
      </c>
      <c r="J102" s="77">
        <v>494650</v>
      </c>
      <c r="K102" s="77">
        <v>895902</v>
      </c>
      <c r="L102" s="77">
        <v>822843</v>
      </c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</row>
    <row r="103" spans="1:25" s="73" customFormat="1" x14ac:dyDescent="0.45">
      <c r="A103" s="68" t="s">
        <v>332</v>
      </c>
      <c r="B103" s="77">
        <v>716527</v>
      </c>
      <c r="C103" s="77">
        <v>741010</v>
      </c>
      <c r="D103" s="77">
        <v>0</v>
      </c>
      <c r="E103" s="77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</row>
    <row r="104" spans="1:25" s="73" customFormat="1" x14ac:dyDescent="0.45">
      <c r="A104" s="68" t="s">
        <v>333</v>
      </c>
      <c r="B104" s="77">
        <v>403856</v>
      </c>
      <c r="C104" s="77">
        <v>411858</v>
      </c>
      <c r="D104" s="77">
        <v>416881</v>
      </c>
      <c r="E104" s="77">
        <v>417256</v>
      </c>
      <c r="F104" s="77">
        <v>420406</v>
      </c>
      <c r="G104" s="77">
        <v>425760</v>
      </c>
      <c r="H104" s="77">
        <v>430548</v>
      </c>
      <c r="I104" s="77">
        <v>435283</v>
      </c>
      <c r="J104" s="77">
        <v>460769</v>
      </c>
      <c r="K104" s="77">
        <v>501733</v>
      </c>
      <c r="L104" s="77">
        <v>575359</v>
      </c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</row>
    <row r="105" spans="1:25" ht="6" customHeight="1" x14ac:dyDescent="0.45">
      <c r="A105" s="68"/>
    </row>
    <row r="106" spans="1:25" ht="12.75" customHeight="1" x14ac:dyDescent="0.45">
      <c r="A106" s="66" t="s">
        <v>342</v>
      </c>
      <c r="B106" s="80">
        <f t="shared" ref="B106:Y106" si="22">SUM(B107:B108)</f>
        <v>293697</v>
      </c>
      <c r="C106" s="80">
        <f t="shared" si="22"/>
        <v>291135</v>
      </c>
      <c r="D106" s="80">
        <f t="shared" si="22"/>
        <v>295411</v>
      </c>
      <c r="E106" s="80">
        <f t="shared" si="22"/>
        <v>286050</v>
      </c>
      <c r="F106" s="80">
        <f t="shared" si="22"/>
        <v>303097</v>
      </c>
      <c r="G106" s="80">
        <f t="shared" si="22"/>
        <v>287811</v>
      </c>
      <c r="H106" s="80">
        <f t="shared" si="22"/>
        <v>297135</v>
      </c>
      <c r="I106" s="80">
        <f t="shared" si="22"/>
        <v>280339</v>
      </c>
      <c r="J106" s="80">
        <f t="shared" si="22"/>
        <v>289749</v>
      </c>
      <c r="K106" s="80">
        <f t="shared" si="22"/>
        <v>287429</v>
      </c>
      <c r="L106" s="80">
        <f t="shared" si="22"/>
        <v>267707</v>
      </c>
      <c r="M106" s="80">
        <f t="shared" si="22"/>
        <v>0</v>
      </c>
      <c r="N106" s="80">
        <f t="shared" si="22"/>
        <v>0</v>
      </c>
      <c r="O106" s="80">
        <f t="shared" si="22"/>
        <v>0</v>
      </c>
      <c r="P106" s="80">
        <f t="shared" si="22"/>
        <v>0</v>
      </c>
      <c r="Q106" s="80">
        <f t="shared" si="22"/>
        <v>0</v>
      </c>
      <c r="R106" s="80">
        <f t="shared" si="22"/>
        <v>0</v>
      </c>
      <c r="S106" s="80">
        <f t="shared" si="22"/>
        <v>0</v>
      </c>
      <c r="T106" s="80">
        <f t="shared" si="22"/>
        <v>0</v>
      </c>
      <c r="U106" s="80">
        <f t="shared" si="22"/>
        <v>0</v>
      </c>
      <c r="V106" s="80">
        <f t="shared" si="22"/>
        <v>0</v>
      </c>
      <c r="W106" s="80">
        <f t="shared" si="22"/>
        <v>0</v>
      </c>
      <c r="X106" s="80">
        <f t="shared" si="22"/>
        <v>0</v>
      </c>
      <c r="Y106" s="80">
        <f t="shared" si="22"/>
        <v>0</v>
      </c>
    </row>
    <row r="107" spans="1:25" ht="12.75" customHeight="1" x14ac:dyDescent="0.45">
      <c r="A107" s="68" t="s">
        <v>341</v>
      </c>
      <c r="B107" s="76">
        <v>293697</v>
      </c>
      <c r="C107" s="76">
        <v>291135</v>
      </c>
      <c r="D107" s="76">
        <v>295411</v>
      </c>
      <c r="E107" s="76">
        <v>286050</v>
      </c>
      <c r="F107" s="76">
        <v>303097</v>
      </c>
      <c r="G107" s="76">
        <v>287811</v>
      </c>
      <c r="H107" s="76">
        <v>297135</v>
      </c>
      <c r="I107" s="76">
        <v>280339</v>
      </c>
      <c r="J107" s="76">
        <v>289749</v>
      </c>
      <c r="K107" s="76">
        <v>287429</v>
      </c>
      <c r="L107" s="76">
        <v>267707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</row>
    <row r="108" spans="1:25" ht="6" customHeight="1" x14ac:dyDescent="0.45">
      <c r="A108" s="68"/>
    </row>
    <row r="109" spans="1:25" x14ac:dyDescent="0.45">
      <c r="A109" s="66" t="s">
        <v>334</v>
      </c>
      <c r="B109" s="80">
        <f t="shared" ref="B109:G109" si="23">B110+B111</f>
        <v>30951</v>
      </c>
      <c r="C109" s="80">
        <f t="shared" si="23"/>
        <v>39421</v>
      </c>
      <c r="D109" s="80">
        <f t="shared" si="23"/>
        <v>37583</v>
      </c>
      <c r="E109" s="80">
        <f t="shared" si="23"/>
        <v>46728</v>
      </c>
      <c r="F109" s="80">
        <f t="shared" si="23"/>
        <v>40419</v>
      </c>
      <c r="G109" s="80">
        <f t="shared" si="23"/>
        <v>41027</v>
      </c>
      <c r="H109" s="80">
        <f t="shared" ref="H109:Y109" si="24">H110+H111</f>
        <v>52043</v>
      </c>
      <c r="I109" s="80">
        <f t="shared" si="24"/>
        <v>49811</v>
      </c>
      <c r="J109" s="80">
        <f t="shared" si="24"/>
        <v>47857</v>
      </c>
      <c r="K109" s="80">
        <f t="shared" si="24"/>
        <v>48184</v>
      </c>
      <c r="L109" s="80">
        <f t="shared" si="24"/>
        <v>62754</v>
      </c>
      <c r="M109" s="80">
        <f t="shared" si="24"/>
        <v>0</v>
      </c>
      <c r="N109" s="80">
        <f t="shared" si="24"/>
        <v>0</v>
      </c>
      <c r="O109" s="80">
        <f t="shared" si="24"/>
        <v>0</v>
      </c>
      <c r="P109" s="80">
        <f t="shared" si="24"/>
        <v>0</v>
      </c>
      <c r="Q109" s="80">
        <f t="shared" si="24"/>
        <v>0</v>
      </c>
      <c r="R109" s="80">
        <f t="shared" si="24"/>
        <v>0</v>
      </c>
      <c r="S109" s="80">
        <f t="shared" si="24"/>
        <v>0</v>
      </c>
      <c r="T109" s="80">
        <f t="shared" si="24"/>
        <v>0</v>
      </c>
      <c r="U109" s="80">
        <f t="shared" si="24"/>
        <v>0</v>
      </c>
      <c r="V109" s="80">
        <f t="shared" si="24"/>
        <v>0</v>
      </c>
      <c r="W109" s="80">
        <f t="shared" si="24"/>
        <v>0</v>
      </c>
      <c r="X109" s="80">
        <f t="shared" si="24"/>
        <v>0</v>
      </c>
      <c r="Y109" s="80">
        <f t="shared" si="24"/>
        <v>0</v>
      </c>
    </row>
    <row r="110" spans="1:25" x14ac:dyDescent="0.45">
      <c r="A110" s="68" t="s">
        <v>386</v>
      </c>
      <c r="B110" s="76">
        <v>24947</v>
      </c>
      <c r="C110" s="76">
        <v>27779</v>
      </c>
      <c r="D110" s="76">
        <v>30874</v>
      </c>
      <c r="E110" s="76">
        <v>39391</v>
      </c>
      <c r="F110" s="76">
        <v>37280</v>
      </c>
      <c r="G110" s="76">
        <v>37837</v>
      </c>
      <c r="H110" s="76">
        <v>46598</v>
      </c>
      <c r="I110" s="76">
        <v>42334</v>
      </c>
      <c r="J110" s="76">
        <v>37184</v>
      </c>
      <c r="K110" s="76">
        <v>38721</v>
      </c>
      <c r="L110" s="76">
        <v>50109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</row>
    <row r="111" spans="1:25" x14ac:dyDescent="0.45">
      <c r="A111" s="68" t="s">
        <v>387</v>
      </c>
      <c r="B111" s="76">
        <v>6004</v>
      </c>
      <c r="C111" s="76">
        <v>11642</v>
      </c>
      <c r="D111" s="76">
        <v>6709</v>
      </c>
      <c r="E111" s="76">
        <v>7337</v>
      </c>
      <c r="F111" s="76">
        <v>3139</v>
      </c>
      <c r="G111" s="76">
        <v>3190</v>
      </c>
      <c r="H111" s="76">
        <v>5445</v>
      </c>
      <c r="I111" s="76">
        <v>7477</v>
      </c>
      <c r="J111" s="76">
        <v>10673</v>
      </c>
      <c r="K111" s="76">
        <v>9463</v>
      </c>
      <c r="L111" s="76">
        <v>12645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>
        <v>0</v>
      </c>
    </row>
    <row r="112" spans="1:25" ht="6" customHeight="1" x14ac:dyDescent="0.45">
      <c r="A112" s="68"/>
    </row>
    <row r="113" spans="1:25" x14ac:dyDescent="0.45">
      <c r="A113" s="66" t="s">
        <v>343</v>
      </c>
      <c r="B113" s="80">
        <f t="shared" ref="B113:Y113" si="25">SUM(B114:B124)</f>
        <v>497926</v>
      </c>
      <c r="C113" s="80">
        <f t="shared" si="25"/>
        <v>609372</v>
      </c>
      <c r="D113" s="80">
        <f t="shared" si="25"/>
        <v>532636</v>
      </c>
      <c r="E113" s="80">
        <f t="shared" si="25"/>
        <v>587766</v>
      </c>
      <c r="F113" s="80">
        <f t="shared" si="25"/>
        <v>615894</v>
      </c>
      <c r="G113" s="80">
        <f t="shared" si="25"/>
        <v>729093</v>
      </c>
      <c r="H113" s="80">
        <f t="shared" si="25"/>
        <v>702977</v>
      </c>
      <c r="I113" s="80">
        <f t="shared" si="25"/>
        <v>688130</v>
      </c>
      <c r="J113" s="80">
        <f t="shared" si="25"/>
        <v>707992</v>
      </c>
      <c r="K113" s="80">
        <f t="shared" si="25"/>
        <v>798728</v>
      </c>
      <c r="L113" s="80">
        <f t="shared" si="25"/>
        <v>691568</v>
      </c>
      <c r="M113" s="80">
        <f t="shared" si="25"/>
        <v>0</v>
      </c>
      <c r="N113" s="80">
        <f t="shared" si="25"/>
        <v>0</v>
      </c>
      <c r="O113" s="80">
        <f t="shared" si="25"/>
        <v>0</v>
      </c>
      <c r="P113" s="80">
        <f t="shared" si="25"/>
        <v>0</v>
      </c>
      <c r="Q113" s="80">
        <f t="shared" si="25"/>
        <v>0</v>
      </c>
      <c r="R113" s="80">
        <f t="shared" si="25"/>
        <v>0</v>
      </c>
      <c r="S113" s="80">
        <f t="shared" si="25"/>
        <v>0</v>
      </c>
      <c r="T113" s="80">
        <f t="shared" si="25"/>
        <v>0</v>
      </c>
      <c r="U113" s="80">
        <f t="shared" si="25"/>
        <v>0</v>
      </c>
      <c r="V113" s="80">
        <f t="shared" si="25"/>
        <v>0</v>
      </c>
      <c r="W113" s="80">
        <f t="shared" si="25"/>
        <v>0</v>
      </c>
      <c r="X113" s="80">
        <f t="shared" si="25"/>
        <v>0</v>
      </c>
      <c r="Y113" s="80">
        <f t="shared" si="25"/>
        <v>0</v>
      </c>
    </row>
    <row r="114" spans="1:25" x14ac:dyDescent="0.45">
      <c r="A114" s="68" t="s">
        <v>292</v>
      </c>
      <c r="B114" s="76">
        <v>8223</v>
      </c>
      <c r="C114" s="76">
        <v>35517</v>
      </c>
      <c r="D114" s="76">
        <v>10651</v>
      </c>
      <c r="E114" s="76">
        <v>430</v>
      </c>
      <c r="F114" s="76">
        <v>26071</v>
      </c>
      <c r="G114" s="76">
        <v>21873</v>
      </c>
      <c r="H114" s="76">
        <v>34545</v>
      </c>
      <c r="I114" s="76">
        <v>9091</v>
      </c>
      <c r="J114" s="76">
        <v>27004</v>
      </c>
      <c r="K114" s="76">
        <v>32469</v>
      </c>
      <c r="L114" s="76">
        <v>29683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0</v>
      </c>
      <c r="X114" s="76">
        <v>0</v>
      </c>
      <c r="Y114" s="76">
        <v>0</v>
      </c>
    </row>
    <row r="115" spans="1:25" x14ac:dyDescent="0.45">
      <c r="A115" s="68" t="s">
        <v>360</v>
      </c>
      <c r="B115" s="76">
        <v>0</v>
      </c>
      <c r="C115" s="76">
        <v>548</v>
      </c>
      <c r="D115" s="76">
        <v>0</v>
      </c>
      <c r="E115" s="76">
        <v>415</v>
      </c>
      <c r="F115" s="76">
        <v>0</v>
      </c>
      <c r="G115" s="76">
        <v>1922</v>
      </c>
      <c r="H115" s="76">
        <v>272</v>
      </c>
      <c r="I115" s="76">
        <v>0</v>
      </c>
      <c r="J115" s="76">
        <v>0</v>
      </c>
      <c r="K115" s="76">
        <v>0</v>
      </c>
      <c r="L115" s="76">
        <v>2381</v>
      </c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</row>
    <row r="116" spans="1:25" x14ac:dyDescent="0.45">
      <c r="A116" s="68" t="s">
        <v>335</v>
      </c>
      <c r="B116" s="76">
        <v>55583</v>
      </c>
      <c r="C116" s="76">
        <v>55853</v>
      </c>
      <c r="D116" s="76">
        <v>55583</v>
      </c>
      <c r="E116" s="76">
        <v>55945</v>
      </c>
      <c r="F116" s="76">
        <v>55583</v>
      </c>
      <c r="G116" s="76">
        <v>57076</v>
      </c>
      <c r="H116" s="76">
        <v>55852</v>
      </c>
      <c r="I116" s="76">
        <v>55752</v>
      </c>
      <c r="J116" s="76">
        <v>0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</row>
    <row r="117" spans="1:25" x14ac:dyDescent="0.45">
      <c r="A117" s="68" t="s">
        <v>336</v>
      </c>
      <c r="B117" s="76">
        <v>-55583</v>
      </c>
      <c r="C117" s="76">
        <v>-55583</v>
      </c>
      <c r="D117" s="76">
        <v>-55583</v>
      </c>
      <c r="E117" s="76">
        <v>-55583</v>
      </c>
      <c r="F117" s="76">
        <v>-55583</v>
      </c>
      <c r="G117" s="76">
        <v>-55583</v>
      </c>
      <c r="H117" s="76">
        <v>-55583</v>
      </c>
      <c r="I117" s="76">
        <v>-55583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</row>
    <row r="118" spans="1:25" x14ac:dyDescent="0.45">
      <c r="A118" s="68" t="s">
        <v>293</v>
      </c>
      <c r="B118" s="76">
        <v>3148</v>
      </c>
      <c r="C118" s="76">
        <v>15507</v>
      </c>
      <c r="D118" s="76">
        <v>8227</v>
      </c>
      <c r="E118" s="76">
        <v>56201</v>
      </c>
      <c r="F118" s="76">
        <v>13365</v>
      </c>
      <c r="G118" s="76">
        <v>42130</v>
      </c>
      <c r="H118" s="76">
        <v>14971</v>
      </c>
      <c r="I118" s="76">
        <v>49438</v>
      </c>
      <c r="J118" s="76">
        <v>15710</v>
      </c>
      <c r="K118" s="76">
        <v>47826</v>
      </c>
      <c r="L118" s="76">
        <v>49496</v>
      </c>
      <c r="M118" s="76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</row>
    <row r="119" spans="1:25" x14ac:dyDescent="0.45">
      <c r="A119" s="68" t="s">
        <v>274</v>
      </c>
      <c r="B119" s="76">
        <v>8470</v>
      </c>
      <c r="C119" s="76">
        <v>17040</v>
      </c>
      <c r="D119" s="76">
        <v>14138</v>
      </c>
      <c r="E119" s="76">
        <v>7734</v>
      </c>
      <c r="F119" s="76">
        <v>1839</v>
      </c>
      <c r="G119" s="76">
        <v>2654</v>
      </c>
      <c r="H119" s="76">
        <v>1116</v>
      </c>
      <c r="I119" s="76">
        <v>1025</v>
      </c>
      <c r="J119" s="76">
        <v>3358</v>
      </c>
      <c r="K119" s="76">
        <v>3961</v>
      </c>
      <c r="L119" s="76">
        <v>3209</v>
      </c>
      <c r="M119" s="76">
        <v>0</v>
      </c>
      <c r="N119" s="76">
        <v>0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</row>
    <row r="120" spans="1:25" x14ac:dyDescent="0.45">
      <c r="A120" s="68" t="s">
        <v>337</v>
      </c>
      <c r="B120" s="76">
        <v>157321</v>
      </c>
      <c r="C120" s="76">
        <v>214936</v>
      </c>
      <c r="D120" s="76">
        <v>191129</v>
      </c>
      <c r="E120" s="76">
        <v>186310</v>
      </c>
      <c r="F120" s="76">
        <v>200549</v>
      </c>
      <c r="G120" s="76">
        <v>229116</v>
      </c>
      <c r="H120" s="76">
        <v>184333</v>
      </c>
      <c r="I120" s="76">
        <v>191242</v>
      </c>
      <c r="J120" s="76">
        <v>198960</v>
      </c>
      <c r="K120" s="76">
        <v>251140</v>
      </c>
      <c r="L120" s="76">
        <v>175925</v>
      </c>
      <c r="M120" s="76">
        <v>0</v>
      </c>
      <c r="N120" s="76">
        <v>0</v>
      </c>
      <c r="O120" s="76">
        <v>0</v>
      </c>
      <c r="P120" s="76">
        <v>0</v>
      </c>
      <c r="Q120" s="76">
        <v>0</v>
      </c>
      <c r="R120" s="76">
        <v>0</v>
      </c>
      <c r="S120" s="76">
        <v>0</v>
      </c>
      <c r="T120" s="76">
        <v>0</v>
      </c>
      <c r="U120" s="76">
        <v>0</v>
      </c>
      <c r="V120" s="76">
        <v>0</v>
      </c>
      <c r="W120" s="76">
        <v>0</v>
      </c>
      <c r="X120" s="76">
        <v>0</v>
      </c>
      <c r="Y120" s="76">
        <v>0</v>
      </c>
    </row>
    <row r="121" spans="1:25" x14ac:dyDescent="0.45">
      <c r="A121" s="68" t="s">
        <v>338</v>
      </c>
      <c r="B121" s="76">
        <v>15104</v>
      </c>
      <c r="C121" s="76">
        <v>9420</v>
      </c>
      <c r="D121" s="76">
        <v>6742</v>
      </c>
      <c r="E121" s="76">
        <v>8683</v>
      </c>
      <c r="F121" s="76">
        <v>4307</v>
      </c>
      <c r="G121" s="76">
        <v>5012</v>
      </c>
      <c r="H121" s="76">
        <v>9806</v>
      </c>
      <c r="I121" s="76">
        <v>9073</v>
      </c>
      <c r="J121" s="76">
        <v>9050</v>
      </c>
      <c r="K121" s="76">
        <v>11946</v>
      </c>
      <c r="L121" s="76">
        <v>4318</v>
      </c>
      <c r="M121" s="76">
        <v>0</v>
      </c>
      <c r="N121" s="76">
        <v>0</v>
      </c>
      <c r="O121" s="76">
        <v>0</v>
      </c>
      <c r="P121" s="76">
        <v>0</v>
      </c>
      <c r="Q121" s="76">
        <v>0</v>
      </c>
      <c r="R121" s="76">
        <v>0</v>
      </c>
      <c r="S121" s="76">
        <v>0</v>
      </c>
      <c r="T121" s="76">
        <v>0</v>
      </c>
      <c r="U121" s="76">
        <v>0</v>
      </c>
      <c r="V121" s="76">
        <v>0</v>
      </c>
      <c r="W121" s="76">
        <v>0</v>
      </c>
      <c r="X121" s="76">
        <v>0</v>
      </c>
      <c r="Y121" s="76">
        <v>0</v>
      </c>
    </row>
    <row r="122" spans="1:25" x14ac:dyDescent="0.45">
      <c r="A122" s="68" t="s">
        <v>339</v>
      </c>
      <c r="B122" s="76">
        <v>80847</v>
      </c>
      <c r="C122" s="76">
        <v>99702</v>
      </c>
      <c r="D122" s="76">
        <v>109280</v>
      </c>
      <c r="E122" s="76">
        <v>115903</v>
      </c>
      <c r="F122" s="76">
        <v>145889</v>
      </c>
      <c r="G122" s="76">
        <v>186923</v>
      </c>
      <c r="H122" s="76">
        <v>200828</v>
      </c>
      <c r="I122" s="76">
        <v>184148</v>
      </c>
      <c r="J122" s="76">
        <v>178104</v>
      </c>
      <c r="K122" s="76">
        <v>183004</v>
      </c>
      <c r="L122" s="76">
        <v>177970</v>
      </c>
      <c r="M122" s="76">
        <v>0</v>
      </c>
      <c r="N122" s="76">
        <v>0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</row>
    <row r="123" spans="1:25" x14ac:dyDescent="0.45">
      <c r="A123" s="68" t="s">
        <v>340</v>
      </c>
      <c r="B123" s="76">
        <v>191057</v>
      </c>
      <c r="C123" s="76">
        <v>174402</v>
      </c>
      <c r="D123" s="76">
        <v>150982</v>
      </c>
      <c r="E123" s="76">
        <v>188028</v>
      </c>
      <c r="F123" s="76">
        <v>200923</v>
      </c>
      <c r="G123" s="76">
        <v>217390</v>
      </c>
      <c r="H123" s="76">
        <v>236538</v>
      </c>
      <c r="I123" s="78">
        <v>242642</v>
      </c>
      <c r="J123" s="76">
        <v>275044</v>
      </c>
      <c r="K123" s="76">
        <v>267619</v>
      </c>
      <c r="L123" s="76">
        <v>247832</v>
      </c>
      <c r="M123" s="76">
        <v>0</v>
      </c>
      <c r="N123" s="76">
        <v>0</v>
      </c>
      <c r="O123" s="76">
        <v>0</v>
      </c>
      <c r="P123" s="76">
        <v>0</v>
      </c>
      <c r="Q123" s="76">
        <v>0</v>
      </c>
      <c r="R123" s="76">
        <v>0</v>
      </c>
      <c r="S123" s="76">
        <v>0</v>
      </c>
      <c r="T123" s="76">
        <v>0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</row>
    <row r="124" spans="1:25" x14ac:dyDescent="0.45">
      <c r="A124" s="68" t="s">
        <v>324</v>
      </c>
      <c r="B124" s="76">
        <v>33756</v>
      </c>
      <c r="C124" s="76">
        <v>42030</v>
      </c>
      <c r="D124" s="76">
        <v>41487</v>
      </c>
      <c r="E124" s="76">
        <v>23700</v>
      </c>
      <c r="F124" s="76">
        <v>22951</v>
      </c>
      <c r="G124" s="76">
        <v>20580</v>
      </c>
      <c r="H124" s="76">
        <v>20299</v>
      </c>
      <c r="I124" s="76">
        <v>1302</v>
      </c>
      <c r="J124" s="76">
        <v>762</v>
      </c>
      <c r="K124" s="76">
        <v>763</v>
      </c>
      <c r="L124" s="76">
        <v>754</v>
      </c>
      <c r="M124" s="76">
        <v>0</v>
      </c>
      <c r="N124" s="76">
        <v>0</v>
      </c>
      <c r="O124" s="76">
        <v>0</v>
      </c>
      <c r="P124" s="76">
        <v>0</v>
      </c>
      <c r="Q124" s="76">
        <v>0</v>
      </c>
      <c r="R124" s="76">
        <v>0</v>
      </c>
      <c r="S124" s="76">
        <v>0</v>
      </c>
      <c r="T124" s="76">
        <v>0</v>
      </c>
      <c r="U124" s="76">
        <v>0</v>
      </c>
      <c r="V124" s="76">
        <v>0</v>
      </c>
      <c r="W124" s="76">
        <v>0</v>
      </c>
      <c r="X124" s="76">
        <v>0</v>
      </c>
      <c r="Y124" s="76">
        <v>0</v>
      </c>
    </row>
    <row r="125" spans="1:25" ht="6" customHeight="1" x14ac:dyDescent="0.45">
      <c r="A125" s="68"/>
    </row>
    <row r="126" spans="1:25" x14ac:dyDescent="0.45">
      <c r="A126" s="66" t="s">
        <v>294</v>
      </c>
      <c r="B126" s="80">
        <v>318</v>
      </c>
      <c r="C126" s="80">
        <v>258</v>
      </c>
      <c r="D126" s="80">
        <v>303</v>
      </c>
      <c r="E126" s="80">
        <v>312</v>
      </c>
      <c r="F126" s="80">
        <v>288</v>
      </c>
      <c r="G126" s="80">
        <v>250</v>
      </c>
      <c r="H126" s="80">
        <v>273</v>
      </c>
      <c r="I126" s="80">
        <v>0</v>
      </c>
      <c r="J126" s="80">
        <v>0</v>
      </c>
      <c r="K126" s="80">
        <v>0</v>
      </c>
      <c r="L126" s="80">
        <v>0</v>
      </c>
      <c r="M126" s="80">
        <v>0</v>
      </c>
      <c r="N126" s="80">
        <v>0</v>
      </c>
      <c r="O126" s="80">
        <v>0</v>
      </c>
      <c r="P126" s="80">
        <v>0</v>
      </c>
      <c r="Q126" s="80">
        <v>0</v>
      </c>
      <c r="R126" s="80">
        <v>0</v>
      </c>
      <c r="S126" s="80">
        <v>0</v>
      </c>
      <c r="T126" s="80">
        <v>0</v>
      </c>
      <c r="U126" s="80">
        <v>0</v>
      </c>
      <c r="V126" s="80">
        <v>0</v>
      </c>
      <c r="W126" s="80">
        <v>0</v>
      </c>
      <c r="X126" s="80">
        <v>0</v>
      </c>
      <c r="Y126" s="80">
        <v>0</v>
      </c>
    </row>
    <row r="127" spans="1:25" ht="6" customHeight="1" x14ac:dyDescent="0.45">
      <c r="A127" s="68"/>
    </row>
    <row r="128" spans="1:25" x14ac:dyDescent="0.45">
      <c r="A128" s="66" t="s">
        <v>295</v>
      </c>
      <c r="B128" s="80">
        <f t="shared" ref="B128:Y128" si="26">B129+B131+B132+B133+B138+B140+B130+B141</f>
        <v>979575</v>
      </c>
      <c r="C128" s="80">
        <f t="shared" si="26"/>
        <v>1000727</v>
      </c>
      <c r="D128" s="80">
        <f t="shared" si="26"/>
        <v>1026329</v>
      </c>
      <c r="E128" s="80">
        <f t="shared" si="26"/>
        <v>1033907</v>
      </c>
      <c r="F128" s="80">
        <f t="shared" si="26"/>
        <v>1084778</v>
      </c>
      <c r="G128" s="80">
        <f t="shared" si="26"/>
        <v>1113042</v>
      </c>
      <c r="H128" s="80">
        <f t="shared" si="26"/>
        <v>1158394</v>
      </c>
      <c r="I128" s="80">
        <f t="shared" si="26"/>
        <v>1171468</v>
      </c>
      <c r="J128" s="80">
        <f t="shared" si="26"/>
        <v>1222749</v>
      </c>
      <c r="K128" s="80">
        <f t="shared" si="26"/>
        <v>1249890</v>
      </c>
      <c r="L128" s="80">
        <f t="shared" si="26"/>
        <v>1274160</v>
      </c>
      <c r="M128" s="80">
        <f t="shared" si="26"/>
        <v>0</v>
      </c>
      <c r="N128" s="80">
        <f t="shared" si="26"/>
        <v>0</v>
      </c>
      <c r="O128" s="80">
        <f t="shared" si="26"/>
        <v>0</v>
      </c>
      <c r="P128" s="80">
        <f t="shared" si="26"/>
        <v>0</v>
      </c>
      <c r="Q128" s="80">
        <f t="shared" si="26"/>
        <v>0</v>
      </c>
      <c r="R128" s="80">
        <f t="shared" si="26"/>
        <v>0</v>
      </c>
      <c r="S128" s="80">
        <f t="shared" si="26"/>
        <v>0</v>
      </c>
      <c r="T128" s="80">
        <f t="shared" si="26"/>
        <v>0</v>
      </c>
      <c r="U128" s="80">
        <f t="shared" si="26"/>
        <v>0</v>
      </c>
      <c r="V128" s="80">
        <f t="shared" si="26"/>
        <v>0</v>
      </c>
      <c r="W128" s="80">
        <f t="shared" si="26"/>
        <v>0</v>
      </c>
      <c r="X128" s="80">
        <f t="shared" si="26"/>
        <v>0</v>
      </c>
      <c r="Y128" s="80">
        <f t="shared" si="26"/>
        <v>0</v>
      </c>
    </row>
    <row r="129" spans="1:25" s="73" customFormat="1" x14ac:dyDescent="0.45">
      <c r="A129" s="68" t="s">
        <v>344</v>
      </c>
      <c r="B129" s="81">
        <v>492708</v>
      </c>
      <c r="C129" s="81">
        <v>492708</v>
      </c>
      <c r="D129" s="81">
        <v>492708</v>
      </c>
      <c r="E129" s="81">
        <v>492708</v>
      </c>
      <c r="F129" s="81">
        <v>492708</v>
      </c>
      <c r="G129" s="81">
        <v>492708</v>
      </c>
      <c r="H129" s="81">
        <v>492708</v>
      </c>
      <c r="I129" s="81">
        <v>597540</v>
      </c>
      <c r="J129" s="81">
        <v>597540</v>
      </c>
      <c r="K129" s="81">
        <v>597540</v>
      </c>
      <c r="L129" s="81">
        <v>597540</v>
      </c>
      <c r="M129" s="81">
        <v>0</v>
      </c>
      <c r="N129" s="81">
        <v>0</v>
      </c>
      <c r="O129" s="81">
        <v>0</v>
      </c>
      <c r="P129" s="81">
        <v>0</v>
      </c>
      <c r="Q129" s="81">
        <v>0</v>
      </c>
      <c r="R129" s="81">
        <v>0</v>
      </c>
      <c r="S129" s="81">
        <v>0</v>
      </c>
      <c r="T129" s="81">
        <v>0</v>
      </c>
      <c r="U129" s="81">
        <v>0</v>
      </c>
      <c r="V129" s="81">
        <v>0</v>
      </c>
      <c r="W129" s="81">
        <v>0</v>
      </c>
      <c r="X129" s="81">
        <v>0</v>
      </c>
      <c r="Y129" s="81">
        <v>0</v>
      </c>
    </row>
    <row r="130" spans="1:25" s="73" customFormat="1" x14ac:dyDescent="0.45">
      <c r="A130" s="68" t="s">
        <v>374</v>
      </c>
      <c r="B130" s="81">
        <v>0</v>
      </c>
      <c r="C130" s="81">
        <v>0</v>
      </c>
      <c r="D130" s="81">
        <v>0</v>
      </c>
      <c r="E130" s="81">
        <v>0</v>
      </c>
      <c r="F130" s="81">
        <v>0</v>
      </c>
      <c r="G130" s="81">
        <v>0</v>
      </c>
      <c r="H130" s="81">
        <v>0</v>
      </c>
      <c r="I130" s="81">
        <v>-5614</v>
      </c>
      <c r="J130" s="81">
        <v>-3974</v>
      </c>
      <c r="K130" s="81">
        <v>-3830</v>
      </c>
      <c r="L130" s="81">
        <v>-3830</v>
      </c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</row>
    <row r="131" spans="1:25" s="73" customFormat="1" x14ac:dyDescent="0.45">
      <c r="A131" s="68" t="s">
        <v>345</v>
      </c>
      <c r="B131" s="81">
        <v>43375</v>
      </c>
      <c r="C131" s="81">
        <v>43375</v>
      </c>
      <c r="D131" s="81">
        <v>43375</v>
      </c>
      <c r="E131" s="81">
        <v>43375</v>
      </c>
      <c r="F131" s="81">
        <v>43375</v>
      </c>
      <c r="G131" s="81">
        <v>43375</v>
      </c>
      <c r="H131" s="81">
        <v>43375</v>
      </c>
      <c r="I131" s="81">
        <v>43375</v>
      </c>
      <c r="J131" s="81">
        <v>43375</v>
      </c>
      <c r="K131" s="81">
        <v>43375</v>
      </c>
      <c r="L131" s="81">
        <v>43375</v>
      </c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</row>
    <row r="132" spans="1:25" s="73" customFormat="1" x14ac:dyDescent="0.45">
      <c r="A132" s="68" t="s">
        <v>346</v>
      </c>
      <c r="B132" s="81">
        <v>124</v>
      </c>
      <c r="C132" s="81">
        <v>122</v>
      </c>
      <c r="D132" s="81">
        <v>119</v>
      </c>
      <c r="E132" s="81">
        <v>117</v>
      </c>
      <c r="F132" s="81">
        <v>115</v>
      </c>
      <c r="G132" s="81">
        <v>113</v>
      </c>
      <c r="H132" s="81">
        <v>111</v>
      </c>
      <c r="I132" s="81">
        <v>108</v>
      </c>
      <c r="J132" s="81">
        <v>106</v>
      </c>
      <c r="K132" s="81">
        <v>104</v>
      </c>
      <c r="L132" s="81">
        <v>102</v>
      </c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</row>
    <row r="133" spans="1:25" x14ac:dyDescent="0.45">
      <c r="A133" s="68" t="s">
        <v>347</v>
      </c>
      <c r="B133" s="81">
        <f t="shared" ref="B133:Y133" si="27">B134+B135</f>
        <v>365958</v>
      </c>
      <c r="C133" s="81">
        <f t="shared" si="27"/>
        <v>438511</v>
      </c>
      <c r="D133" s="81">
        <f t="shared" si="27"/>
        <v>438511</v>
      </c>
      <c r="E133" s="81">
        <f t="shared" si="27"/>
        <v>463107</v>
      </c>
      <c r="F133" s="81">
        <f t="shared" si="27"/>
        <v>463107</v>
      </c>
      <c r="G133" s="81">
        <f t="shared" si="27"/>
        <v>541621</v>
      </c>
      <c r="H133" s="81">
        <f t="shared" si="27"/>
        <v>541621</v>
      </c>
      <c r="I133" s="81">
        <f t="shared" si="27"/>
        <v>478082</v>
      </c>
      <c r="J133" s="81">
        <f t="shared" si="27"/>
        <v>478011</v>
      </c>
      <c r="K133" s="81">
        <f t="shared" si="27"/>
        <v>478002</v>
      </c>
      <c r="L133" s="81">
        <f t="shared" si="27"/>
        <v>478002</v>
      </c>
      <c r="M133" s="81">
        <f t="shared" si="27"/>
        <v>0</v>
      </c>
      <c r="N133" s="81">
        <f t="shared" si="27"/>
        <v>0</v>
      </c>
      <c r="O133" s="81">
        <f t="shared" si="27"/>
        <v>0</v>
      </c>
      <c r="P133" s="81">
        <f t="shared" si="27"/>
        <v>0</v>
      </c>
      <c r="Q133" s="81">
        <f t="shared" si="27"/>
        <v>0</v>
      </c>
      <c r="R133" s="81">
        <f t="shared" si="27"/>
        <v>0</v>
      </c>
      <c r="S133" s="81">
        <f t="shared" si="27"/>
        <v>0</v>
      </c>
      <c r="T133" s="81">
        <f t="shared" si="27"/>
        <v>0</v>
      </c>
      <c r="U133" s="81">
        <f t="shared" si="27"/>
        <v>0</v>
      </c>
      <c r="V133" s="81">
        <f t="shared" si="27"/>
        <v>0</v>
      </c>
      <c r="W133" s="81">
        <f t="shared" si="27"/>
        <v>0</v>
      </c>
      <c r="X133" s="81">
        <f t="shared" si="27"/>
        <v>0</v>
      </c>
      <c r="Y133" s="81">
        <f t="shared" si="27"/>
        <v>0</v>
      </c>
    </row>
    <row r="134" spans="1:25" x14ac:dyDescent="0.45">
      <c r="A134" s="74" t="s">
        <v>296</v>
      </c>
      <c r="B134" s="82">
        <v>70911</v>
      </c>
      <c r="C134" s="82">
        <v>74538</v>
      </c>
      <c r="D134" s="82">
        <v>74538</v>
      </c>
      <c r="E134" s="82">
        <v>78463</v>
      </c>
      <c r="F134" s="82">
        <v>78463</v>
      </c>
      <c r="G134" s="82">
        <v>83490</v>
      </c>
      <c r="H134" s="82">
        <v>83490</v>
      </c>
      <c r="I134" s="82">
        <v>87688</v>
      </c>
      <c r="J134" s="82">
        <v>87688</v>
      </c>
      <c r="K134" s="82">
        <v>87688</v>
      </c>
      <c r="L134" s="82">
        <v>87688</v>
      </c>
      <c r="M134" s="82">
        <v>0</v>
      </c>
      <c r="N134" s="82">
        <v>0</v>
      </c>
      <c r="O134" s="82">
        <v>0</v>
      </c>
      <c r="P134" s="82">
        <v>0</v>
      </c>
      <c r="Q134" s="82">
        <v>0</v>
      </c>
      <c r="R134" s="82">
        <v>0</v>
      </c>
      <c r="S134" s="82">
        <v>0</v>
      </c>
      <c r="T134" s="82">
        <v>0</v>
      </c>
      <c r="U134" s="82">
        <v>0</v>
      </c>
      <c r="V134" s="82">
        <v>0</v>
      </c>
      <c r="W134" s="82">
        <v>0</v>
      </c>
      <c r="X134" s="82">
        <v>0</v>
      </c>
      <c r="Y134" s="82">
        <v>0</v>
      </c>
    </row>
    <row r="135" spans="1:25" x14ac:dyDescent="0.45">
      <c r="A135" s="74" t="s">
        <v>297</v>
      </c>
      <c r="B135" s="82">
        <v>295047</v>
      </c>
      <c r="C135" s="82">
        <v>363973</v>
      </c>
      <c r="D135" s="82">
        <v>363973</v>
      </c>
      <c r="E135" s="82">
        <v>384644</v>
      </c>
      <c r="F135" s="82">
        <v>384644</v>
      </c>
      <c r="G135" s="82">
        <v>458131</v>
      </c>
      <c r="H135" s="82">
        <v>458131</v>
      </c>
      <c r="I135" s="82">
        <v>390394</v>
      </c>
      <c r="J135" s="82">
        <v>390323</v>
      </c>
      <c r="K135" s="82">
        <v>390314</v>
      </c>
      <c r="L135" s="82">
        <v>390314</v>
      </c>
      <c r="M135" s="82">
        <f t="shared" ref="M135:Y135" si="28">SUM(M136:M137)</f>
        <v>0</v>
      </c>
      <c r="N135" s="82">
        <f t="shared" si="28"/>
        <v>0</v>
      </c>
      <c r="O135" s="82">
        <f t="shared" si="28"/>
        <v>0</v>
      </c>
      <c r="P135" s="82">
        <f t="shared" si="28"/>
        <v>0</v>
      </c>
      <c r="Q135" s="82">
        <f t="shared" si="28"/>
        <v>0</v>
      </c>
      <c r="R135" s="82">
        <f t="shared" si="28"/>
        <v>0</v>
      </c>
      <c r="S135" s="82">
        <f t="shared" si="28"/>
        <v>0</v>
      </c>
      <c r="T135" s="82">
        <f t="shared" si="28"/>
        <v>0</v>
      </c>
      <c r="U135" s="82">
        <f t="shared" si="28"/>
        <v>0</v>
      </c>
      <c r="V135" s="82">
        <f t="shared" si="28"/>
        <v>0</v>
      </c>
      <c r="W135" s="82">
        <f t="shared" si="28"/>
        <v>0</v>
      </c>
      <c r="X135" s="82">
        <f t="shared" si="28"/>
        <v>0</v>
      </c>
      <c r="Y135" s="82">
        <f t="shared" si="28"/>
        <v>0</v>
      </c>
    </row>
    <row r="136" spans="1:25" x14ac:dyDescent="0.45">
      <c r="A136" s="74" t="s">
        <v>298</v>
      </c>
      <c r="B136" s="82">
        <v>14609</v>
      </c>
      <c r="C136" s="82">
        <v>21502</v>
      </c>
      <c r="D136" s="82">
        <v>21502</v>
      </c>
      <c r="E136" s="82">
        <v>23569</v>
      </c>
      <c r="F136" s="82">
        <v>23569</v>
      </c>
      <c r="G136" s="82">
        <v>30918</v>
      </c>
      <c r="H136" s="82">
        <v>30918</v>
      </c>
      <c r="I136" s="82">
        <v>34627</v>
      </c>
      <c r="J136" s="82">
        <v>34627</v>
      </c>
      <c r="K136" s="82">
        <v>0</v>
      </c>
      <c r="L136" s="82">
        <v>0</v>
      </c>
      <c r="M136" s="82">
        <v>0</v>
      </c>
      <c r="N136" s="82">
        <v>0</v>
      </c>
      <c r="O136" s="82">
        <v>0</v>
      </c>
      <c r="P136" s="82">
        <v>0</v>
      </c>
      <c r="Q136" s="82">
        <v>0</v>
      </c>
      <c r="R136" s="82">
        <v>0</v>
      </c>
      <c r="S136" s="82">
        <v>0</v>
      </c>
      <c r="T136" s="82">
        <v>0</v>
      </c>
      <c r="U136" s="82">
        <v>0</v>
      </c>
      <c r="V136" s="82">
        <v>0</v>
      </c>
      <c r="W136" s="82">
        <v>0</v>
      </c>
      <c r="X136" s="82">
        <v>0</v>
      </c>
      <c r="Y136" s="82">
        <v>0</v>
      </c>
    </row>
    <row r="137" spans="1:25" x14ac:dyDescent="0.45">
      <c r="A137" s="74" t="s">
        <v>299</v>
      </c>
      <c r="B137" s="82">
        <v>280438</v>
      </c>
      <c r="C137" s="82">
        <v>342471</v>
      </c>
      <c r="D137" s="82">
        <v>342471</v>
      </c>
      <c r="E137" s="82">
        <v>361075</v>
      </c>
      <c r="F137" s="82">
        <v>361075</v>
      </c>
      <c r="G137" s="82">
        <v>427213</v>
      </c>
      <c r="H137" s="82">
        <v>427213</v>
      </c>
      <c r="I137" s="82">
        <v>355767</v>
      </c>
      <c r="J137" s="82">
        <v>355696</v>
      </c>
      <c r="K137" s="82">
        <v>0</v>
      </c>
      <c r="L137" s="82">
        <v>0</v>
      </c>
      <c r="M137" s="82">
        <v>0</v>
      </c>
      <c r="N137" s="82">
        <v>0</v>
      </c>
      <c r="O137" s="82">
        <v>0</v>
      </c>
      <c r="P137" s="82">
        <v>0</v>
      </c>
      <c r="Q137" s="82">
        <v>0</v>
      </c>
      <c r="R137" s="82">
        <v>0</v>
      </c>
      <c r="S137" s="82">
        <v>0</v>
      </c>
      <c r="T137" s="82">
        <v>0</v>
      </c>
      <c r="U137" s="82">
        <v>0</v>
      </c>
      <c r="V137" s="82">
        <v>0</v>
      </c>
      <c r="W137" s="82">
        <v>0</v>
      </c>
      <c r="X137" s="82">
        <v>0</v>
      </c>
      <c r="Y137" s="82">
        <v>0</v>
      </c>
    </row>
    <row r="138" spans="1:25" x14ac:dyDescent="0.45">
      <c r="A138" s="68" t="s">
        <v>348</v>
      </c>
      <c r="B138" s="81">
        <f t="shared" ref="B138:Y138" si="29">B139</f>
        <v>-14820</v>
      </c>
      <c r="C138" s="81">
        <f t="shared" si="29"/>
        <v>-19695</v>
      </c>
      <c r="D138" s="81">
        <f t="shared" si="29"/>
        <v>-21615</v>
      </c>
      <c r="E138" s="81">
        <f t="shared" si="29"/>
        <v>-11339</v>
      </c>
      <c r="F138" s="81">
        <f t="shared" si="29"/>
        <v>-11602</v>
      </c>
      <c r="G138" s="81">
        <f t="shared" si="29"/>
        <v>-10339</v>
      </c>
      <c r="H138" s="81">
        <f t="shared" si="29"/>
        <v>-5109</v>
      </c>
      <c r="I138" s="81">
        <f t="shared" si="29"/>
        <v>11000</v>
      </c>
      <c r="J138" s="81">
        <f t="shared" si="29"/>
        <v>13368</v>
      </c>
      <c r="K138" s="81">
        <f t="shared" si="29"/>
        <v>15695</v>
      </c>
      <c r="L138" s="81">
        <f t="shared" si="29"/>
        <v>15983</v>
      </c>
      <c r="M138" s="81">
        <f t="shared" si="29"/>
        <v>0</v>
      </c>
      <c r="N138" s="81">
        <f t="shared" si="29"/>
        <v>0</v>
      </c>
      <c r="O138" s="81">
        <f t="shared" si="29"/>
        <v>0</v>
      </c>
      <c r="P138" s="81">
        <f t="shared" si="29"/>
        <v>0</v>
      </c>
      <c r="Q138" s="81">
        <f t="shared" si="29"/>
        <v>0</v>
      </c>
      <c r="R138" s="81">
        <f t="shared" si="29"/>
        <v>0</v>
      </c>
      <c r="S138" s="81">
        <f t="shared" si="29"/>
        <v>0</v>
      </c>
      <c r="T138" s="81">
        <f t="shared" si="29"/>
        <v>0</v>
      </c>
      <c r="U138" s="81">
        <f t="shared" si="29"/>
        <v>0</v>
      </c>
      <c r="V138" s="81">
        <f t="shared" si="29"/>
        <v>0</v>
      </c>
      <c r="W138" s="81">
        <f t="shared" si="29"/>
        <v>0</v>
      </c>
      <c r="X138" s="81">
        <f t="shared" si="29"/>
        <v>0</v>
      </c>
      <c r="Y138" s="81">
        <f t="shared" si="29"/>
        <v>0</v>
      </c>
    </row>
    <row r="139" spans="1:25" x14ac:dyDescent="0.45">
      <c r="A139" s="74" t="s">
        <v>349</v>
      </c>
      <c r="B139" s="82">
        <v>-14820</v>
      </c>
      <c r="C139" s="82">
        <v>-19695</v>
      </c>
      <c r="D139" s="82">
        <v>-21615</v>
      </c>
      <c r="E139" s="82">
        <v>-11339</v>
      </c>
      <c r="F139" s="82">
        <v>-11602</v>
      </c>
      <c r="G139" s="82">
        <v>-10339</v>
      </c>
      <c r="H139" s="82">
        <v>-5109</v>
      </c>
      <c r="I139" s="82">
        <v>11000</v>
      </c>
      <c r="J139" s="82">
        <v>13368</v>
      </c>
      <c r="K139" s="82">
        <v>15695</v>
      </c>
      <c r="L139" s="82">
        <v>15983</v>
      </c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</row>
    <row r="140" spans="1:25" s="73" customFormat="1" x14ac:dyDescent="0.45">
      <c r="A140" s="68" t="s">
        <v>350</v>
      </c>
      <c r="B140" s="81">
        <v>46934</v>
      </c>
      <c r="C140" s="81">
        <v>0</v>
      </c>
      <c r="D140" s="81">
        <v>27180</v>
      </c>
      <c r="E140" s="81">
        <v>0</v>
      </c>
      <c r="F140" s="81">
        <v>51243</v>
      </c>
      <c r="G140" s="81">
        <v>0</v>
      </c>
      <c r="H140" s="81">
        <v>40130</v>
      </c>
      <c r="I140" s="81">
        <v>0</v>
      </c>
      <c r="J140" s="81">
        <v>47119</v>
      </c>
      <c r="K140" s="81">
        <v>71813</v>
      </c>
      <c r="L140" s="81">
        <v>96280</v>
      </c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</row>
    <row r="141" spans="1:25" s="73" customFormat="1" x14ac:dyDescent="0.45">
      <c r="A141" s="68" t="s">
        <v>351</v>
      </c>
      <c r="B141" s="81">
        <v>45296</v>
      </c>
      <c r="C141" s="81">
        <v>45706</v>
      </c>
      <c r="D141" s="81">
        <v>46051</v>
      </c>
      <c r="E141" s="81">
        <v>45939</v>
      </c>
      <c r="F141" s="81">
        <v>45832</v>
      </c>
      <c r="G141" s="81">
        <v>45564</v>
      </c>
      <c r="H141" s="81">
        <v>45558</v>
      </c>
      <c r="I141" s="81">
        <v>46977</v>
      </c>
      <c r="J141" s="81">
        <v>47204</v>
      </c>
      <c r="K141" s="81">
        <v>47191</v>
      </c>
      <c r="L141" s="81">
        <v>46708</v>
      </c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</row>
    <row r="142" spans="1:25" ht="6" customHeight="1" thickBot="1" x14ac:dyDescent="0.5">
      <c r="A142" s="68"/>
    </row>
    <row r="143" spans="1:25" ht="16.5" thickBot="1" x14ac:dyDescent="0.5">
      <c r="A143" s="88" t="s">
        <v>167</v>
      </c>
      <c r="B143" s="89">
        <f t="shared" ref="B143:Y143" si="30">B83+B106+B109+B113+B126+B128</f>
        <v>10087527</v>
      </c>
      <c r="C143" s="89">
        <f t="shared" si="30"/>
        <v>10747166</v>
      </c>
      <c r="D143" s="89">
        <f t="shared" si="30"/>
        <v>10158015</v>
      </c>
      <c r="E143" s="89">
        <f t="shared" si="30"/>
        <v>10718363</v>
      </c>
      <c r="F143" s="89">
        <f t="shared" si="30"/>
        <v>10730786</v>
      </c>
      <c r="G143" s="89">
        <f t="shared" si="30"/>
        <v>11530824</v>
      </c>
      <c r="H143" s="89">
        <f t="shared" si="30"/>
        <v>11950964</v>
      </c>
      <c r="I143" s="89">
        <f t="shared" si="30"/>
        <v>12423365</v>
      </c>
      <c r="J143" s="89">
        <f t="shared" si="30"/>
        <v>13041042</v>
      </c>
      <c r="K143" s="89">
        <f t="shared" si="30"/>
        <v>14348764</v>
      </c>
      <c r="L143" s="89">
        <f t="shared" si="30"/>
        <v>14329731</v>
      </c>
      <c r="M143" s="89">
        <f t="shared" si="30"/>
        <v>0</v>
      </c>
      <c r="N143" s="89">
        <f t="shared" si="30"/>
        <v>0</v>
      </c>
      <c r="O143" s="89">
        <f t="shared" si="30"/>
        <v>0</v>
      </c>
      <c r="P143" s="89">
        <f t="shared" si="30"/>
        <v>0</v>
      </c>
      <c r="Q143" s="89">
        <f t="shared" si="30"/>
        <v>0</v>
      </c>
      <c r="R143" s="89">
        <f t="shared" si="30"/>
        <v>0</v>
      </c>
      <c r="S143" s="89">
        <f t="shared" si="30"/>
        <v>0</v>
      </c>
      <c r="T143" s="89">
        <f t="shared" si="30"/>
        <v>0</v>
      </c>
      <c r="U143" s="89">
        <f t="shared" si="30"/>
        <v>0</v>
      </c>
      <c r="V143" s="89">
        <f t="shared" si="30"/>
        <v>0</v>
      </c>
      <c r="W143" s="89">
        <f t="shared" si="30"/>
        <v>0</v>
      </c>
      <c r="X143" s="89">
        <f t="shared" si="30"/>
        <v>0</v>
      </c>
      <c r="Y143" s="89">
        <f t="shared" si="30"/>
        <v>0</v>
      </c>
    </row>
    <row r="144" spans="1:25" x14ac:dyDescent="0.45">
      <c r="B144" s="90">
        <f t="shared" ref="B144:Y144" si="31">B79-B143</f>
        <v>0</v>
      </c>
      <c r="C144" s="90">
        <f t="shared" si="31"/>
        <v>0</v>
      </c>
      <c r="D144" s="90">
        <f t="shared" si="31"/>
        <v>0</v>
      </c>
      <c r="E144" s="90">
        <f t="shared" si="31"/>
        <v>0</v>
      </c>
      <c r="F144" s="90">
        <f t="shared" si="31"/>
        <v>0</v>
      </c>
      <c r="G144" s="90">
        <f t="shared" si="31"/>
        <v>0</v>
      </c>
      <c r="H144" s="90">
        <f t="shared" si="31"/>
        <v>0</v>
      </c>
      <c r="I144" s="90">
        <f t="shared" si="31"/>
        <v>0</v>
      </c>
      <c r="J144" s="90">
        <f t="shared" si="31"/>
        <v>0</v>
      </c>
      <c r="K144" s="90">
        <f t="shared" si="31"/>
        <v>0</v>
      </c>
      <c r="L144" s="90">
        <f t="shared" si="31"/>
        <v>0</v>
      </c>
      <c r="M144" s="90">
        <f t="shared" si="31"/>
        <v>0</v>
      </c>
      <c r="N144" s="90">
        <f t="shared" si="31"/>
        <v>0</v>
      </c>
      <c r="O144" s="90">
        <f t="shared" si="31"/>
        <v>0</v>
      </c>
      <c r="P144" s="90">
        <f t="shared" si="31"/>
        <v>0</v>
      </c>
      <c r="Q144" s="90">
        <f t="shared" si="31"/>
        <v>0</v>
      </c>
      <c r="R144" s="90">
        <f t="shared" si="31"/>
        <v>0</v>
      </c>
      <c r="S144" s="90">
        <f t="shared" si="31"/>
        <v>0</v>
      </c>
      <c r="T144" s="90">
        <f t="shared" si="31"/>
        <v>0</v>
      </c>
      <c r="U144" s="90">
        <f t="shared" si="31"/>
        <v>0</v>
      </c>
      <c r="V144" s="90">
        <f t="shared" si="31"/>
        <v>0</v>
      </c>
      <c r="W144" s="90">
        <f t="shared" si="31"/>
        <v>0</v>
      </c>
      <c r="X144" s="90">
        <f t="shared" si="31"/>
        <v>0</v>
      </c>
      <c r="Y144" s="90">
        <f t="shared" si="31"/>
        <v>0</v>
      </c>
    </row>
  </sheetData>
  <hyperlinks>
    <hyperlink ref="R6" location="Índice!A1" display="Índice"/>
    <hyperlink ref="C6" location="Índice!A1" display="Índice"/>
  </hyperlinks>
  <pageMargins left="0.31496062992125984" right="0.31496062992125984" top="0.39370078740157483" bottom="0.39370078740157483" header="0.31496062992125984" footer="0.31496062992125984"/>
  <pageSetup paperSize="9" scale="41" orientation="landscape" r:id="rId1"/>
  <rowBreaks count="1" manualBreakCount="1">
    <brk id="7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Y60"/>
  <sheetViews>
    <sheetView showGridLines="0" zoomScaleNormal="100" workbookViewId="0">
      <pane xSplit="1" ySplit="9" topLeftCell="F10" activePane="bottomRight" state="frozen"/>
      <selection activeCell="C8" sqref="C8"/>
      <selection pane="topRight" activeCell="C8" sqref="C8"/>
      <selection pane="bottomLeft" activeCell="C8" sqref="C8"/>
      <selection pane="bottomRight" activeCell="L8" sqref="L8"/>
    </sheetView>
  </sheetViews>
  <sheetFormatPr defaultColWidth="9.1796875" defaultRowHeight="16" x14ac:dyDescent="0.45"/>
  <cols>
    <col min="1" max="1" width="70.7265625" style="59" customWidth="1"/>
    <col min="2" max="2" width="12" style="59" customWidth="1"/>
    <col min="3" max="3" width="13.26953125" style="59" bestFit="1" customWidth="1"/>
    <col min="4" max="13" width="11.54296875" style="59" bestFit="1" customWidth="1"/>
    <col min="14" max="14" width="11.54296875" style="59" customWidth="1"/>
    <col min="15" max="17" width="11.54296875" style="59" bestFit="1" customWidth="1"/>
    <col min="18" max="16384" width="9.1796875" style="59"/>
  </cols>
  <sheetData>
    <row r="1" spans="1:25" ht="16.5" x14ac:dyDescent="0.45">
      <c r="A1" s="55"/>
    </row>
    <row r="2" spans="1:25" ht="16.5" x14ac:dyDescent="0.45">
      <c r="A2" s="92" t="s">
        <v>165</v>
      </c>
    </row>
    <row r="3" spans="1:25" ht="6.75" customHeight="1" x14ac:dyDescent="0.45">
      <c r="A3" s="91"/>
    </row>
    <row r="4" spans="1:25" ht="16.5" x14ac:dyDescent="0.45">
      <c r="A4" s="92" t="s">
        <v>13</v>
      </c>
    </row>
    <row r="5" spans="1:25" ht="6.75" customHeight="1" x14ac:dyDescent="0.45">
      <c r="A5" s="55"/>
    </row>
    <row r="6" spans="1:25" ht="16.5" x14ac:dyDescent="0.45">
      <c r="A6" s="93"/>
      <c r="B6" s="63" t="s">
        <v>15</v>
      </c>
      <c r="M6" s="63" t="s">
        <v>15</v>
      </c>
      <c r="N6" s="63"/>
    </row>
    <row r="7" spans="1:25" ht="17.25" customHeight="1" x14ac:dyDescent="0.45">
      <c r="A7" s="94" t="s">
        <v>388</v>
      </c>
    </row>
    <row r="8" spans="1:25" x14ac:dyDescent="0.45">
      <c r="A8" s="59" t="s">
        <v>18</v>
      </c>
    </row>
    <row r="9" spans="1:25" x14ac:dyDescent="0.45">
      <c r="A9" s="64"/>
      <c r="B9" s="64" t="s">
        <v>214</v>
      </c>
      <c r="C9" s="64" t="s">
        <v>215</v>
      </c>
      <c r="D9" s="64" t="s">
        <v>216</v>
      </c>
      <c r="E9" s="64" t="s">
        <v>217</v>
      </c>
      <c r="F9" s="64" t="s">
        <v>218</v>
      </c>
      <c r="G9" s="64" t="s">
        <v>219</v>
      </c>
      <c r="H9" s="64" t="s">
        <v>220</v>
      </c>
      <c r="I9" s="64" t="s">
        <v>221</v>
      </c>
      <c r="J9" s="64" t="s">
        <v>222</v>
      </c>
      <c r="K9" s="64" t="s">
        <v>223</v>
      </c>
      <c r="L9" s="64" t="s">
        <v>224</v>
      </c>
      <c r="M9" s="64" t="s">
        <v>225</v>
      </c>
      <c r="N9" s="64" t="s">
        <v>226</v>
      </c>
      <c r="O9" s="64" t="s">
        <v>227</v>
      </c>
      <c r="P9" s="64" t="s">
        <v>228</v>
      </c>
      <c r="Q9" s="64" t="s">
        <v>229</v>
      </c>
      <c r="R9" s="64" t="s">
        <v>230</v>
      </c>
      <c r="S9" s="64" t="s">
        <v>231</v>
      </c>
      <c r="T9" s="64" t="s">
        <v>232</v>
      </c>
      <c r="U9" s="64" t="s">
        <v>233</v>
      </c>
      <c r="V9" s="64" t="s">
        <v>234</v>
      </c>
      <c r="W9" s="64" t="s">
        <v>235</v>
      </c>
      <c r="X9" s="64" t="s">
        <v>236</v>
      </c>
      <c r="Y9" s="64" t="s">
        <v>237</v>
      </c>
    </row>
    <row r="10" spans="1:25" ht="18" customHeight="1" x14ac:dyDescent="0.45">
      <c r="A10" s="95" t="s">
        <v>205</v>
      </c>
      <c r="B10" s="87">
        <f t="shared" ref="B10:Y10" si="0">SUM(B11:B16)</f>
        <v>664161</v>
      </c>
      <c r="C10" s="87">
        <f t="shared" si="0"/>
        <v>560821</v>
      </c>
      <c r="D10" s="87">
        <f t="shared" si="0"/>
        <v>502116</v>
      </c>
      <c r="E10" s="87">
        <f t="shared" si="0"/>
        <v>573627</v>
      </c>
      <c r="F10" s="87">
        <f t="shared" si="0"/>
        <v>577886</v>
      </c>
      <c r="G10" s="87">
        <f t="shared" si="0"/>
        <v>651547</v>
      </c>
      <c r="H10" s="87">
        <f t="shared" si="0"/>
        <v>704008</v>
      </c>
      <c r="I10" s="87">
        <f t="shared" si="0"/>
        <v>673064</v>
      </c>
      <c r="J10" s="87">
        <f t="shared" si="0"/>
        <v>826196</v>
      </c>
      <c r="K10" s="87">
        <f t="shared" si="0"/>
        <v>903615</v>
      </c>
      <c r="L10" s="87">
        <f t="shared" si="0"/>
        <v>949833</v>
      </c>
      <c r="M10" s="87">
        <f t="shared" si="0"/>
        <v>0</v>
      </c>
      <c r="N10" s="87">
        <f t="shared" si="0"/>
        <v>0</v>
      </c>
      <c r="O10" s="87">
        <f t="shared" si="0"/>
        <v>0</v>
      </c>
      <c r="P10" s="87">
        <f t="shared" si="0"/>
        <v>0</v>
      </c>
      <c r="Q10" s="87">
        <f t="shared" si="0"/>
        <v>0</v>
      </c>
      <c r="R10" s="87">
        <f t="shared" si="0"/>
        <v>0</v>
      </c>
      <c r="S10" s="87">
        <f t="shared" si="0"/>
        <v>0</v>
      </c>
      <c r="T10" s="87">
        <f t="shared" si="0"/>
        <v>0</v>
      </c>
      <c r="U10" s="87">
        <f t="shared" si="0"/>
        <v>0</v>
      </c>
      <c r="V10" s="87">
        <f t="shared" si="0"/>
        <v>0</v>
      </c>
      <c r="W10" s="87">
        <f t="shared" si="0"/>
        <v>0</v>
      </c>
      <c r="X10" s="87">
        <f t="shared" si="0"/>
        <v>0</v>
      </c>
      <c r="Y10" s="87">
        <f t="shared" si="0"/>
        <v>0</v>
      </c>
    </row>
    <row r="11" spans="1:25" x14ac:dyDescent="0.45">
      <c r="A11" s="62" t="s">
        <v>241</v>
      </c>
      <c r="B11" s="96">
        <v>459417</v>
      </c>
      <c r="C11" s="96">
        <v>472455</v>
      </c>
      <c r="D11" s="96">
        <v>464980</v>
      </c>
      <c r="E11" s="96">
        <v>516950</v>
      </c>
      <c r="F11" s="96">
        <v>490461</v>
      </c>
      <c r="G11" s="96">
        <v>561883</v>
      </c>
      <c r="H11" s="96">
        <v>617284</v>
      </c>
      <c r="I11" s="76">
        <v>631587</v>
      </c>
      <c r="J11" s="96">
        <v>728867</v>
      </c>
      <c r="K11" s="96">
        <v>762272</v>
      </c>
      <c r="L11" s="96">
        <v>851980</v>
      </c>
      <c r="M11" s="96">
        <v>0</v>
      </c>
      <c r="N11" s="96">
        <v>0</v>
      </c>
      <c r="O11" s="96">
        <v>0</v>
      </c>
      <c r="P11" s="96">
        <v>0</v>
      </c>
      <c r="Q11" s="96">
        <v>0</v>
      </c>
      <c r="R11" s="96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  <c r="X11" s="96">
        <v>0</v>
      </c>
      <c r="Y11" s="96">
        <v>0</v>
      </c>
    </row>
    <row r="12" spans="1:25" x14ac:dyDescent="0.45">
      <c r="A12" s="62" t="s">
        <v>242</v>
      </c>
      <c r="B12" s="96">
        <v>40172</v>
      </c>
      <c r="C12" s="96">
        <v>37389</v>
      </c>
      <c r="D12" s="96">
        <v>16886</v>
      </c>
      <c r="E12" s="96">
        <v>14969</v>
      </c>
      <c r="F12" s="96">
        <v>11928</v>
      </c>
      <c r="G12" s="96">
        <v>16192</v>
      </c>
      <c r="H12" s="96">
        <v>28221</v>
      </c>
      <c r="I12" s="76">
        <v>43402</v>
      </c>
      <c r="J12" s="96">
        <v>45867</v>
      </c>
      <c r="K12" s="96">
        <v>71183</v>
      </c>
      <c r="L12" s="96">
        <v>88186</v>
      </c>
      <c r="M12" s="96">
        <v>0</v>
      </c>
      <c r="N12" s="96">
        <v>0</v>
      </c>
      <c r="O12" s="96">
        <v>0</v>
      </c>
      <c r="P12" s="96">
        <v>0</v>
      </c>
      <c r="Q12" s="96">
        <v>0</v>
      </c>
      <c r="R12" s="96">
        <v>0</v>
      </c>
      <c r="S12" s="96">
        <v>0</v>
      </c>
      <c r="T12" s="96">
        <v>0</v>
      </c>
      <c r="U12" s="96">
        <v>0</v>
      </c>
      <c r="V12" s="96">
        <v>0</v>
      </c>
      <c r="W12" s="96">
        <v>0</v>
      </c>
      <c r="X12" s="96">
        <v>0</v>
      </c>
      <c r="Y12" s="96">
        <v>0</v>
      </c>
    </row>
    <row r="13" spans="1:25" x14ac:dyDescent="0.45">
      <c r="A13" s="62" t="s">
        <v>243</v>
      </c>
      <c r="B13" s="96">
        <v>118985</v>
      </c>
      <c r="C13" s="76">
        <v>14480</v>
      </c>
      <c r="D13" s="76">
        <v>-18166</v>
      </c>
      <c r="E13" s="96">
        <v>1741</v>
      </c>
      <c r="F13" s="96">
        <v>12703</v>
      </c>
      <c r="G13" s="76">
        <v>17114</v>
      </c>
      <c r="H13" s="96">
        <v>17820</v>
      </c>
      <c r="I13" s="76">
        <v>-6131</v>
      </c>
      <c r="J13" s="76">
        <v>24068</v>
      </c>
      <c r="K13" s="76">
        <v>41657</v>
      </c>
      <c r="L13" s="76">
        <v>-31439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0</v>
      </c>
      <c r="W13" s="76">
        <v>0</v>
      </c>
      <c r="X13" s="76">
        <v>0</v>
      </c>
      <c r="Y13" s="76">
        <v>0</v>
      </c>
    </row>
    <row r="14" spans="1:25" x14ac:dyDescent="0.45">
      <c r="A14" s="62" t="s">
        <v>244</v>
      </c>
      <c r="B14" s="96">
        <v>25674</v>
      </c>
      <c r="C14" s="76">
        <v>8015</v>
      </c>
      <c r="D14" s="76">
        <v>8268</v>
      </c>
      <c r="E14" s="76">
        <v>-8229</v>
      </c>
      <c r="F14" s="96">
        <v>11886</v>
      </c>
      <c r="G14" s="76">
        <v>-13061</v>
      </c>
      <c r="H14" s="96">
        <v>10709</v>
      </c>
      <c r="I14" s="76">
        <v>4636</v>
      </c>
      <c r="J14" s="76">
        <v>-3511</v>
      </c>
      <c r="K14" s="76">
        <v>3</v>
      </c>
      <c r="L14" s="76">
        <v>68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0</v>
      </c>
      <c r="W14" s="76">
        <v>0</v>
      </c>
      <c r="X14" s="76">
        <v>0</v>
      </c>
      <c r="Y14" s="76">
        <v>0</v>
      </c>
    </row>
    <row r="15" spans="1:25" x14ac:dyDescent="0.45">
      <c r="A15" s="62" t="s">
        <v>245</v>
      </c>
      <c r="B15" s="96">
        <v>699</v>
      </c>
      <c r="C15" s="76">
        <v>712</v>
      </c>
      <c r="D15" s="76">
        <v>654</v>
      </c>
      <c r="E15" s="96">
        <v>532</v>
      </c>
      <c r="F15" s="96">
        <v>530</v>
      </c>
      <c r="G15" s="76">
        <v>951</v>
      </c>
      <c r="H15" s="96">
        <v>1027</v>
      </c>
      <c r="I15" s="76">
        <v>1128</v>
      </c>
      <c r="J15" s="76">
        <v>1597</v>
      </c>
      <c r="K15" s="76">
        <v>1477</v>
      </c>
      <c r="L15" s="76">
        <v>1433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0</v>
      </c>
      <c r="W15" s="76">
        <v>0</v>
      </c>
      <c r="X15" s="76">
        <v>0</v>
      </c>
      <c r="Y15" s="76">
        <v>0</v>
      </c>
    </row>
    <row r="16" spans="1:25" x14ac:dyDescent="0.45">
      <c r="A16" s="62" t="s">
        <v>247</v>
      </c>
      <c r="B16" s="96">
        <v>19214</v>
      </c>
      <c r="C16" s="96">
        <v>27770</v>
      </c>
      <c r="D16" s="96">
        <v>29494</v>
      </c>
      <c r="E16" s="96">
        <v>47664</v>
      </c>
      <c r="F16" s="96">
        <v>50378</v>
      </c>
      <c r="G16" s="96">
        <v>68468</v>
      </c>
      <c r="H16" s="96">
        <v>28947</v>
      </c>
      <c r="I16" s="76">
        <v>-1558</v>
      </c>
      <c r="J16" s="96">
        <v>29308</v>
      </c>
      <c r="K16" s="96">
        <v>27023</v>
      </c>
      <c r="L16" s="96">
        <v>39605</v>
      </c>
      <c r="M16" s="96">
        <v>0</v>
      </c>
      <c r="N16" s="96">
        <v>0</v>
      </c>
      <c r="O16" s="96">
        <v>0</v>
      </c>
      <c r="P16" s="96">
        <v>0</v>
      </c>
      <c r="Q16" s="96">
        <v>0</v>
      </c>
      <c r="R16" s="96">
        <v>0</v>
      </c>
      <c r="S16" s="96">
        <v>0</v>
      </c>
      <c r="T16" s="96">
        <v>0</v>
      </c>
      <c r="U16" s="96">
        <v>0</v>
      </c>
      <c r="V16" s="96">
        <v>0</v>
      </c>
      <c r="W16" s="96">
        <v>0</v>
      </c>
      <c r="X16" s="96">
        <v>0</v>
      </c>
      <c r="Y16" s="96">
        <v>0</v>
      </c>
    </row>
    <row r="17" spans="1:25" x14ac:dyDescent="0.45">
      <c r="A17" s="62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</row>
    <row r="18" spans="1:25" x14ac:dyDescent="0.45">
      <c r="A18" s="67" t="s">
        <v>206</v>
      </c>
      <c r="B18" s="97">
        <f t="shared" ref="B18:Y18" si="1">SUM(B19:B21)</f>
        <v>-258258</v>
      </c>
      <c r="C18" s="97">
        <f t="shared" si="1"/>
        <v>-112004</v>
      </c>
      <c r="D18" s="97">
        <f t="shared" si="1"/>
        <v>-27619</v>
      </c>
      <c r="E18" s="97">
        <f t="shared" si="1"/>
        <v>-39482</v>
      </c>
      <c r="F18" s="97">
        <f t="shared" si="1"/>
        <v>-41563</v>
      </c>
      <c r="G18" s="97">
        <f t="shared" si="1"/>
        <v>-64192</v>
      </c>
      <c r="H18" s="97">
        <f t="shared" si="1"/>
        <v>-107555</v>
      </c>
      <c r="I18" s="97">
        <f t="shared" si="1"/>
        <v>-159466</v>
      </c>
      <c r="J18" s="97">
        <f t="shared" si="1"/>
        <v>-220349</v>
      </c>
      <c r="K18" s="97">
        <f t="shared" si="1"/>
        <v>-292154</v>
      </c>
      <c r="L18" s="97">
        <f t="shared" si="1"/>
        <v>-342390</v>
      </c>
      <c r="M18" s="97">
        <f t="shared" si="1"/>
        <v>0</v>
      </c>
      <c r="N18" s="97">
        <f t="shared" si="1"/>
        <v>0</v>
      </c>
      <c r="O18" s="97">
        <f t="shared" si="1"/>
        <v>0</v>
      </c>
      <c r="P18" s="97">
        <f t="shared" si="1"/>
        <v>0</v>
      </c>
      <c r="Q18" s="97">
        <f t="shared" si="1"/>
        <v>0</v>
      </c>
      <c r="R18" s="97">
        <f t="shared" si="1"/>
        <v>0</v>
      </c>
      <c r="S18" s="97">
        <f t="shared" si="1"/>
        <v>0</v>
      </c>
      <c r="T18" s="97">
        <f t="shared" si="1"/>
        <v>0</v>
      </c>
      <c r="U18" s="97">
        <f t="shared" si="1"/>
        <v>0</v>
      </c>
      <c r="V18" s="97">
        <f t="shared" si="1"/>
        <v>0</v>
      </c>
      <c r="W18" s="97">
        <f t="shared" si="1"/>
        <v>0</v>
      </c>
      <c r="X18" s="97">
        <f t="shared" si="1"/>
        <v>0</v>
      </c>
      <c r="Y18" s="97">
        <f t="shared" si="1"/>
        <v>0</v>
      </c>
    </row>
    <row r="19" spans="1:25" x14ac:dyDescent="0.45">
      <c r="A19" s="62" t="s">
        <v>246</v>
      </c>
      <c r="B19" s="76">
        <v>-249890</v>
      </c>
      <c r="C19" s="76">
        <v>-109255</v>
      </c>
      <c r="D19" s="76">
        <v>-24002</v>
      </c>
      <c r="E19" s="76">
        <v>-39357</v>
      </c>
      <c r="F19" s="76">
        <v>-41358</v>
      </c>
      <c r="G19" s="76">
        <v>-64048</v>
      </c>
      <c r="H19" s="76">
        <v>-105245</v>
      </c>
      <c r="I19" s="76">
        <v>-158859</v>
      </c>
      <c r="J19" s="76">
        <v>-206777</v>
      </c>
      <c r="K19" s="76">
        <v>-269171</v>
      </c>
      <c r="L19" s="76">
        <v>-312493</v>
      </c>
      <c r="M19" s="76">
        <v>0</v>
      </c>
      <c r="N19" s="76">
        <v>0</v>
      </c>
      <c r="O19" s="76">
        <v>0</v>
      </c>
      <c r="P19" s="76">
        <v>0</v>
      </c>
      <c r="Q19" s="76">
        <v>0</v>
      </c>
      <c r="R19" s="76">
        <v>0</v>
      </c>
      <c r="S19" s="76">
        <v>0</v>
      </c>
      <c r="T19" s="76">
        <v>0</v>
      </c>
      <c r="U19" s="76">
        <v>0</v>
      </c>
      <c r="V19" s="76">
        <v>0</v>
      </c>
      <c r="W19" s="76">
        <v>0</v>
      </c>
      <c r="X19" s="76">
        <v>0</v>
      </c>
      <c r="Y19" s="76">
        <v>0</v>
      </c>
    </row>
    <row r="20" spans="1:25" x14ac:dyDescent="0.45">
      <c r="A20" s="62" t="s">
        <v>257</v>
      </c>
      <c r="B20" s="76">
        <v>-7149</v>
      </c>
      <c r="C20" s="76">
        <v>-1952</v>
      </c>
      <c r="D20" s="76">
        <v>-2860</v>
      </c>
      <c r="E20" s="76">
        <v>187</v>
      </c>
      <c r="F20" s="76">
        <v>-44</v>
      </c>
      <c r="G20" s="76">
        <v>-58</v>
      </c>
      <c r="H20" s="76">
        <v>-130</v>
      </c>
      <c r="I20" s="76">
        <v>-211</v>
      </c>
      <c r="J20" s="76">
        <v>-244</v>
      </c>
      <c r="K20" s="76">
        <v>-171</v>
      </c>
      <c r="L20" s="76">
        <v>-231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0</v>
      </c>
      <c r="X20" s="76">
        <v>0</v>
      </c>
      <c r="Y20" s="76">
        <v>0</v>
      </c>
    </row>
    <row r="21" spans="1:25" x14ac:dyDescent="0.45">
      <c r="A21" s="62" t="s">
        <v>247</v>
      </c>
      <c r="B21" s="76">
        <v>-1219</v>
      </c>
      <c r="C21" s="76">
        <v>-797</v>
      </c>
      <c r="D21" s="76">
        <v>-757</v>
      </c>
      <c r="E21" s="76">
        <v>-312</v>
      </c>
      <c r="F21" s="76">
        <v>-161</v>
      </c>
      <c r="G21" s="76">
        <v>-86</v>
      </c>
      <c r="H21" s="76">
        <v>-2180</v>
      </c>
      <c r="I21" s="76">
        <v>-396</v>
      </c>
      <c r="J21" s="76">
        <v>-13328</v>
      </c>
      <c r="K21" s="76">
        <v>-22812</v>
      </c>
      <c r="L21" s="76">
        <v>-29666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0</v>
      </c>
      <c r="W21" s="76">
        <v>0</v>
      </c>
      <c r="X21" s="76">
        <v>0</v>
      </c>
      <c r="Y21" s="76">
        <v>0</v>
      </c>
    </row>
    <row r="22" spans="1:25" x14ac:dyDescent="0.45">
      <c r="A22" s="67" t="s">
        <v>353</v>
      </c>
      <c r="B22" s="97">
        <f t="shared" ref="B22:Y22" si="2">B10+B18</f>
        <v>405903</v>
      </c>
      <c r="C22" s="97">
        <f t="shared" si="2"/>
        <v>448817</v>
      </c>
      <c r="D22" s="97">
        <f t="shared" si="2"/>
        <v>474497</v>
      </c>
      <c r="E22" s="97">
        <f t="shared" si="2"/>
        <v>534145</v>
      </c>
      <c r="F22" s="97">
        <f t="shared" si="2"/>
        <v>536323</v>
      </c>
      <c r="G22" s="97">
        <f t="shared" si="2"/>
        <v>587355</v>
      </c>
      <c r="H22" s="97">
        <f t="shared" si="2"/>
        <v>596453</v>
      </c>
      <c r="I22" s="97">
        <f t="shared" si="2"/>
        <v>513598</v>
      </c>
      <c r="J22" s="97">
        <f t="shared" si="2"/>
        <v>605847</v>
      </c>
      <c r="K22" s="97">
        <f t="shared" si="2"/>
        <v>611461</v>
      </c>
      <c r="L22" s="97">
        <f t="shared" si="2"/>
        <v>607443</v>
      </c>
      <c r="M22" s="97">
        <f t="shared" si="2"/>
        <v>0</v>
      </c>
      <c r="N22" s="97">
        <f t="shared" si="2"/>
        <v>0</v>
      </c>
      <c r="O22" s="97">
        <f t="shared" si="2"/>
        <v>0</v>
      </c>
      <c r="P22" s="97">
        <f t="shared" si="2"/>
        <v>0</v>
      </c>
      <c r="Q22" s="97">
        <f t="shared" si="2"/>
        <v>0</v>
      </c>
      <c r="R22" s="97">
        <f t="shared" si="2"/>
        <v>0</v>
      </c>
      <c r="S22" s="97">
        <f t="shared" si="2"/>
        <v>0</v>
      </c>
      <c r="T22" s="97">
        <f t="shared" si="2"/>
        <v>0</v>
      </c>
      <c r="U22" s="97">
        <f t="shared" si="2"/>
        <v>0</v>
      </c>
      <c r="V22" s="97">
        <f t="shared" si="2"/>
        <v>0</v>
      </c>
      <c r="W22" s="97">
        <f t="shared" si="2"/>
        <v>0</v>
      </c>
      <c r="X22" s="97">
        <f t="shared" si="2"/>
        <v>0</v>
      </c>
      <c r="Y22" s="97">
        <f t="shared" si="2"/>
        <v>0</v>
      </c>
    </row>
    <row r="23" spans="1:25" x14ac:dyDescent="0.45">
      <c r="A23" s="62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</row>
    <row r="24" spans="1:25" s="73" customFormat="1" x14ac:dyDescent="0.45">
      <c r="A24" s="67" t="s">
        <v>402</v>
      </c>
      <c r="B24" s="97">
        <v>-75839</v>
      </c>
      <c r="C24" s="97">
        <v>-88546</v>
      </c>
      <c r="D24" s="97">
        <v>-88904</v>
      </c>
      <c r="E24" s="97">
        <v>-73021</v>
      </c>
      <c r="F24" s="97">
        <v>-57795</v>
      </c>
      <c r="G24" s="97">
        <v>-86835</v>
      </c>
      <c r="H24" s="97">
        <v>-81340</v>
      </c>
      <c r="I24" s="97">
        <v>-118727</v>
      </c>
      <c r="J24" s="97">
        <v>-106821</v>
      </c>
      <c r="K24" s="97">
        <v>-29744</v>
      </c>
      <c r="L24" s="97">
        <v>-95242</v>
      </c>
      <c r="M24" s="97">
        <v>0</v>
      </c>
      <c r="N24" s="97">
        <v>0</v>
      </c>
      <c r="O24" s="97">
        <v>0</v>
      </c>
      <c r="P24" s="97">
        <v>0</v>
      </c>
      <c r="Q24" s="97">
        <v>0</v>
      </c>
      <c r="R24" s="97">
        <v>0</v>
      </c>
      <c r="S24" s="97">
        <v>0</v>
      </c>
      <c r="T24" s="97">
        <v>0</v>
      </c>
      <c r="U24" s="97">
        <v>0</v>
      </c>
      <c r="V24" s="97">
        <v>0</v>
      </c>
      <c r="W24" s="97">
        <v>0</v>
      </c>
      <c r="X24" s="97">
        <v>0</v>
      </c>
      <c r="Y24" s="97">
        <v>0</v>
      </c>
    </row>
    <row r="25" spans="1:25" x14ac:dyDescent="0.45">
      <c r="A25" s="83" t="s">
        <v>122</v>
      </c>
    </row>
    <row r="26" spans="1:25" x14ac:dyDescent="0.45">
      <c r="A26" s="67" t="s">
        <v>204</v>
      </c>
      <c r="B26" s="97">
        <f t="shared" ref="B26:Y26" si="3">B22+B24</f>
        <v>330064</v>
      </c>
      <c r="C26" s="97">
        <f t="shared" si="3"/>
        <v>360271</v>
      </c>
      <c r="D26" s="97">
        <f t="shared" si="3"/>
        <v>385593</v>
      </c>
      <c r="E26" s="97">
        <f t="shared" si="3"/>
        <v>461124</v>
      </c>
      <c r="F26" s="97">
        <f t="shared" si="3"/>
        <v>478528</v>
      </c>
      <c r="G26" s="97">
        <f t="shared" si="3"/>
        <v>500520</v>
      </c>
      <c r="H26" s="97">
        <f t="shared" si="3"/>
        <v>515113</v>
      </c>
      <c r="I26" s="97">
        <f t="shared" si="3"/>
        <v>394871</v>
      </c>
      <c r="J26" s="97">
        <f t="shared" si="3"/>
        <v>499026</v>
      </c>
      <c r="K26" s="97">
        <f t="shared" si="3"/>
        <v>581717</v>
      </c>
      <c r="L26" s="97">
        <f t="shared" si="3"/>
        <v>512201</v>
      </c>
      <c r="M26" s="97">
        <f t="shared" si="3"/>
        <v>0</v>
      </c>
      <c r="N26" s="97">
        <f t="shared" si="3"/>
        <v>0</v>
      </c>
      <c r="O26" s="97">
        <f t="shared" si="3"/>
        <v>0</v>
      </c>
      <c r="P26" s="97">
        <f t="shared" si="3"/>
        <v>0</v>
      </c>
      <c r="Q26" s="97">
        <f t="shared" si="3"/>
        <v>0</v>
      </c>
      <c r="R26" s="97">
        <f t="shared" si="3"/>
        <v>0</v>
      </c>
      <c r="S26" s="97">
        <f t="shared" si="3"/>
        <v>0</v>
      </c>
      <c r="T26" s="97">
        <f t="shared" si="3"/>
        <v>0</v>
      </c>
      <c r="U26" s="97">
        <f t="shared" si="3"/>
        <v>0</v>
      </c>
      <c r="V26" s="97">
        <f t="shared" si="3"/>
        <v>0</v>
      </c>
      <c r="W26" s="97">
        <f t="shared" si="3"/>
        <v>0</v>
      </c>
      <c r="X26" s="97">
        <f t="shared" si="3"/>
        <v>0</v>
      </c>
      <c r="Y26" s="97">
        <f t="shared" si="3"/>
        <v>0</v>
      </c>
    </row>
    <row r="27" spans="1:25" s="62" customFormat="1" x14ac:dyDescent="0.4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</row>
    <row r="28" spans="1:25" x14ac:dyDescent="0.45">
      <c r="A28" s="67" t="s">
        <v>207</v>
      </c>
      <c r="B28" s="97">
        <f>B29+B32+B33+B34+B35+B36+B37</f>
        <v>-260104</v>
      </c>
      <c r="C28" s="97">
        <f t="shared" ref="C28:Y28" si="4">C29+C32+C33+C34+C35+C36+C37</f>
        <v>-298221</v>
      </c>
      <c r="D28" s="97">
        <f t="shared" si="4"/>
        <v>-334680</v>
      </c>
      <c r="E28" s="97">
        <f t="shared" si="4"/>
        <v>-398836</v>
      </c>
      <c r="F28" s="97">
        <f t="shared" si="4"/>
        <v>-387955</v>
      </c>
      <c r="G28" s="97">
        <f t="shared" si="4"/>
        <v>-431839</v>
      </c>
      <c r="H28" s="97">
        <f t="shared" si="4"/>
        <v>-446080</v>
      </c>
      <c r="I28" s="97">
        <f t="shared" si="4"/>
        <v>-459285</v>
      </c>
      <c r="J28" s="97">
        <f t="shared" si="4"/>
        <v>-434232</v>
      </c>
      <c r="K28" s="97">
        <f t="shared" si="4"/>
        <v>-504971</v>
      </c>
      <c r="L28" s="97">
        <f t="shared" si="4"/>
        <v>-479943</v>
      </c>
      <c r="M28" s="97">
        <f t="shared" si="4"/>
        <v>0</v>
      </c>
      <c r="N28" s="97">
        <f t="shared" si="4"/>
        <v>0</v>
      </c>
      <c r="O28" s="97">
        <f t="shared" si="4"/>
        <v>0</v>
      </c>
      <c r="P28" s="97">
        <f t="shared" si="4"/>
        <v>0</v>
      </c>
      <c r="Q28" s="97">
        <f t="shared" si="4"/>
        <v>0</v>
      </c>
      <c r="R28" s="97">
        <f t="shared" si="4"/>
        <v>0</v>
      </c>
      <c r="S28" s="97">
        <f t="shared" si="4"/>
        <v>0</v>
      </c>
      <c r="T28" s="97">
        <f t="shared" si="4"/>
        <v>0</v>
      </c>
      <c r="U28" s="97">
        <f t="shared" si="4"/>
        <v>0</v>
      </c>
      <c r="V28" s="97">
        <f t="shared" si="4"/>
        <v>0</v>
      </c>
      <c r="W28" s="97">
        <f t="shared" si="4"/>
        <v>0</v>
      </c>
      <c r="X28" s="97">
        <f t="shared" si="4"/>
        <v>0</v>
      </c>
      <c r="Y28" s="97">
        <f t="shared" si="4"/>
        <v>0</v>
      </c>
    </row>
    <row r="29" spans="1:25" x14ac:dyDescent="0.45">
      <c r="A29" s="62" t="s">
        <v>248</v>
      </c>
      <c r="B29" s="100">
        <f t="shared" ref="B29:Y29" si="5">B30+B31</f>
        <v>78741</v>
      </c>
      <c r="C29" s="100">
        <f t="shared" si="5"/>
        <v>83367</v>
      </c>
      <c r="D29" s="100">
        <f t="shared" si="5"/>
        <v>76934</v>
      </c>
      <c r="E29" s="100">
        <f t="shared" si="5"/>
        <v>79357</v>
      </c>
      <c r="F29" s="100">
        <f t="shared" si="5"/>
        <v>79982</v>
      </c>
      <c r="G29" s="100">
        <f t="shared" si="5"/>
        <v>87400</v>
      </c>
      <c r="H29" s="100">
        <f t="shared" si="5"/>
        <v>88981</v>
      </c>
      <c r="I29" s="100">
        <f t="shared" si="5"/>
        <v>96231</v>
      </c>
      <c r="J29" s="100">
        <f t="shared" si="5"/>
        <v>98618</v>
      </c>
      <c r="K29" s="100">
        <f t="shared" si="5"/>
        <v>100936</v>
      </c>
      <c r="L29" s="100">
        <f t="shared" si="5"/>
        <v>110610</v>
      </c>
      <c r="M29" s="100">
        <f t="shared" si="5"/>
        <v>0</v>
      </c>
      <c r="N29" s="100">
        <f t="shared" si="5"/>
        <v>0</v>
      </c>
      <c r="O29" s="100">
        <f t="shared" si="5"/>
        <v>0</v>
      </c>
      <c r="P29" s="100">
        <f t="shared" si="5"/>
        <v>0</v>
      </c>
      <c r="Q29" s="100">
        <f t="shared" si="5"/>
        <v>0</v>
      </c>
      <c r="R29" s="100">
        <f t="shared" si="5"/>
        <v>0</v>
      </c>
      <c r="S29" s="100">
        <f t="shared" si="5"/>
        <v>0</v>
      </c>
      <c r="T29" s="100">
        <f t="shared" si="5"/>
        <v>0</v>
      </c>
      <c r="U29" s="100">
        <f t="shared" si="5"/>
        <v>0</v>
      </c>
      <c r="V29" s="100">
        <f t="shared" si="5"/>
        <v>0</v>
      </c>
      <c r="W29" s="100">
        <f t="shared" si="5"/>
        <v>0</v>
      </c>
      <c r="X29" s="100">
        <f t="shared" si="5"/>
        <v>0</v>
      </c>
      <c r="Y29" s="100">
        <f t="shared" si="5"/>
        <v>0</v>
      </c>
    </row>
    <row r="30" spans="1:25" x14ac:dyDescent="0.45">
      <c r="A30" s="62" t="s">
        <v>249</v>
      </c>
      <c r="B30" s="96">
        <v>18741</v>
      </c>
      <c r="C30" s="96">
        <v>20425</v>
      </c>
      <c r="D30" s="96">
        <v>24362</v>
      </c>
      <c r="E30" s="96">
        <v>32994</v>
      </c>
      <c r="F30" s="96">
        <v>33347</v>
      </c>
      <c r="G30" s="96">
        <v>40403</v>
      </c>
      <c r="H30" s="96">
        <v>42225</v>
      </c>
      <c r="I30" s="96">
        <v>49427</v>
      </c>
      <c r="J30" s="96">
        <v>47756</v>
      </c>
      <c r="K30" s="96">
        <v>47742</v>
      </c>
      <c r="L30" s="96">
        <v>53062</v>
      </c>
      <c r="M30" s="96">
        <v>0</v>
      </c>
      <c r="N30" s="96">
        <v>0</v>
      </c>
      <c r="O30" s="96">
        <v>0</v>
      </c>
      <c r="P30" s="96">
        <v>0</v>
      </c>
      <c r="Q30" s="96">
        <v>0</v>
      </c>
      <c r="R30" s="96">
        <v>0</v>
      </c>
      <c r="S30" s="96">
        <v>0</v>
      </c>
      <c r="T30" s="96">
        <v>0</v>
      </c>
      <c r="U30" s="96">
        <v>0</v>
      </c>
      <c r="V30" s="96">
        <v>0</v>
      </c>
      <c r="W30" s="96">
        <v>0</v>
      </c>
      <c r="X30" s="96">
        <v>0</v>
      </c>
      <c r="Y30" s="96">
        <v>0</v>
      </c>
    </row>
    <row r="31" spans="1:25" x14ac:dyDescent="0.45">
      <c r="A31" s="62" t="s">
        <v>250</v>
      </c>
      <c r="B31" s="96">
        <v>60000</v>
      </c>
      <c r="C31" s="96">
        <v>62942</v>
      </c>
      <c r="D31" s="96">
        <v>52572</v>
      </c>
      <c r="E31" s="96">
        <v>46363</v>
      </c>
      <c r="F31" s="96">
        <v>46635</v>
      </c>
      <c r="G31" s="96">
        <v>46997</v>
      </c>
      <c r="H31" s="96">
        <v>46756</v>
      </c>
      <c r="I31" s="96">
        <v>46804</v>
      </c>
      <c r="J31" s="96">
        <v>50862</v>
      </c>
      <c r="K31" s="96">
        <v>53194</v>
      </c>
      <c r="L31" s="96">
        <v>57548</v>
      </c>
      <c r="M31" s="96">
        <v>0</v>
      </c>
      <c r="N31" s="96">
        <v>0</v>
      </c>
      <c r="O31" s="96">
        <v>0</v>
      </c>
      <c r="P31" s="96">
        <v>0</v>
      </c>
      <c r="Q31" s="96">
        <v>0</v>
      </c>
      <c r="R31" s="96">
        <v>0</v>
      </c>
      <c r="S31" s="96">
        <v>0</v>
      </c>
      <c r="T31" s="96">
        <v>0</v>
      </c>
      <c r="U31" s="96">
        <v>0</v>
      </c>
      <c r="V31" s="96">
        <v>0</v>
      </c>
      <c r="W31" s="96">
        <v>0</v>
      </c>
      <c r="X31" s="96">
        <v>0</v>
      </c>
      <c r="Y31" s="96">
        <v>0</v>
      </c>
    </row>
    <row r="32" spans="1:25" x14ac:dyDescent="0.45">
      <c r="A32" s="62" t="s">
        <v>251</v>
      </c>
      <c r="B32" s="76">
        <v>-106348</v>
      </c>
      <c r="C32" s="76">
        <v>-110204</v>
      </c>
      <c r="D32" s="76">
        <v>-121257</v>
      </c>
      <c r="E32" s="76">
        <v>-121045</v>
      </c>
      <c r="F32" s="76">
        <v>-120294</v>
      </c>
      <c r="G32" s="76">
        <v>-114924</v>
      </c>
      <c r="H32" s="76">
        <v>-134677</v>
      </c>
      <c r="I32" s="76">
        <v>-130545</v>
      </c>
      <c r="J32" s="78">
        <v>-115594</v>
      </c>
      <c r="K32" s="78">
        <v>-118467</v>
      </c>
      <c r="L32" s="76">
        <v>-129320</v>
      </c>
      <c r="M32" s="76">
        <v>0</v>
      </c>
      <c r="N32" s="76">
        <v>0</v>
      </c>
      <c r="O32" s="76">
        <v>0</v>
      </c>
      <c r="P32" s="76">
        <v>0</v>
      </c>
      <c r="Q32" s="76">
        <v>0</v>
      </c>
      <c r="R32" s="76">
        <v>0</v>
      </c>
      <c r="S32" s="76">
        <v>0</v>
      </c>
      <c r="T32" s="76">
        <v>0</v>
      </c>
      <c r="U32" s="76">
        <v>0</v>
      </c>
      <c r="V32" s="76">
        <v>0</v>
      </c>
      <c r="W32" s="76">
        <v>0</v>
      </c>
      <c r="X32" s="76">
        <v>0</v>
      </c>
      <c r="Y32" s="76">
        <v>0</v>
      </c>
    </row>
    <row r="33" spans="1:25" x14ac:dyDescent="0.45">
      <c r="A33" s="62" t="s">
        <v>252</v>
      </c>
      <c r="B33" s="76">
        <v>-157063</v>
      </c>
      <c r="C33" s="76">
        <v>-165828</v>
      </c>
      <c r="D33" s="76">
        <v>-164697</v>
      </c>
      <c r="E33" s="76">
        <v>-196265</v>
      </c>
      <c r="F33" s="76">
        <v>-192282</v>
      </c>
      <c r="G33" s="76">
        <v>-248088</v>
      </c>
      <c r="H33" s="76">
        <v>-207116</v>
      </c>
      <c r="I33" s="76">
        <v>-203964</v>
      </c>
      <c r="J33" s="78">
        <v>-222297</v>
      </c>
      <c r="K33" s="78">
        <v>-221078</v>
      </c>
      <c r="L33" s="76">
        <v>-213190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0</v>
      </c>
      <c r="X33" s="76">
        <v>0</v>
      </c>
      <c r="Y33" s="76">
        <v>0</v>
      </c>
    </row>
    <row r="34" spans="1:25" x14ac:dyDescent="0.45">
      <c r="A34" s="62" t="s">
        <v>253</v>
      </c>
      <c r="B34" s="76">
        <v>-26342</v>
      </c>
      <c r="C34" s="76">
        <v>-28803</v>
      </c>
      <c r="D34" s="76">
        <v>-30227</v>
      </c>
      <c r="E34" s="76">
        <v>-32434</v>
      </c>
      <c r="F34" s="76">
        <v>-33872</v>
      </c>
      <c r="G34" s="76">
        <v>-40744</v>
      </c>
      <c r="H34" s="76">
        <v>-36252</v>
      </c>
      <c r="I34" s="76">
        <v>-37630</v>
      </c>
      <c r="J34" s="78">
        <v>-38510</v>
      </c>
      <c r="K34" s="78">
        <v>-41338</v>
      </c>
      <c r="L34" s="76">
        <v>-40245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0</v>
      </c>
      <c r="W34" s="76">
        <v>0</v>
      </c>
      <c r="X34" s="76">
        <v>0</v>
      </c>
      <c r="Y34" s="76">
        <v>0</v>
      </c>
    </row>
    <row r="35" spans="1:25" s="62" customFormat="1" x14ac:dyDescent="0.45">
      <c r="A35" s="62" t="s">
        <v>264</v>
      </c>
      <c r="B35" s="96">
        <v>30427</v>
      </c>
      <c r="C35" s="96">
        <v>5822</v>
      </c>
      <c r="D35" s="96">
        <v>11400</v>
      </c>
      <c r="E35" s="76">
        <v>4589</v>
      </c>
      <c r="F35" s="76">
        <v>7199</v>
      </c>
      <c r="G35" s="96">
        <v>26843</v>
      </c>
      <c r="H35" s="96">
        <v>18494</v>
      </c>
      <c r="I35" s="76">
        <v>39402</v>
      </c>
      <c r="J35" s="96">
        <v>40505</v>
      </c>
      <c r="K35" s="96">
        <v>11197</v>
      </c>
      <c r="L35" s="96">
        <v>18311</v>
      </c>
      <c r="M35" s="96">
        <v>0</v>
      </c>
      <c r="N35" s="96">
        <v>0</v>
      </c>
      <c r="O35" s="96">
        <v>0</v>
      </c>
      <c r="P35" s="96">
        <v>0</v>
      </c>
      <c r="Q35" s="96">
        <v>0</v>
      </c>
      <c r="R35" s="96">
        <v>0</v>
      </c>
      <c r="S35" s="96">
        <v>0</v>
      </c>
      <c r="T35" s="96">
        <v>0</v>
      </c>
      <c r="U35" s="96">
        <v>0</v>
      </c>
      <c r="V35" s="96">
        <v>0</v>
      </c>
      <c r="W35" s="96">
        <v>0</v>
      </c>
      <c r="X35" s="96">
        <v>0</v>
      </c>
      <c r="Y35" s="96">
        <v>0</v>
      </c>
    </row>
    <row r="36" spans="1:25" s="62" customFormat="1" x14ac:dyDescent="0.45">
      <c r="A36" s="62" t="s">
        <v>254</v>
      </c>
      <c r="B36" s="78">
        <v>-79519</v>
      </c>
      <c r="C36" s="78">
        <v>-82575</v>
      </c>
      <c r="D36" s="78">
        <v>-106833</v>
      </c>
      <c r="E36" s="76">
        <v>-133038</v>
      </c>
      <c r="F36" s="76">
        <v>-128688</v>
      </c>
      <c r="G36" s="78">
        <v>-142326</v>
      </c>
      <c r="H36" s="78">
        <v>-175510</v>
      </c>
      <c r="I36" s="78">
        <v>-222779</v>
      </c>
      <c r="J36" s="78">
        <v>-171257</v>
      </c>
      <c r="K36" s="78">
        <v>-198453</v>
      </c>
      <c r="L36" s="78">
        <v>-208647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0</v>
      </c>
      <c r="S36" s="78">
        <v>0</v>
      </c>
      <c r="T36" s="78">
        <v>0</v>
      </c>
      <c r="U36" s="78">
        <v>0</v>
      </c>
      <c r="V36" s="78">
        <v>0</v>
      </c>
      <c r="W36" s="78">
        <v>0</v>
      </c>
      <c r="X36" s="78">
        <v>0</v>
      </c>
      <c r="Y36" s="78">
        <v>0</v>
      </c>
    </row>
    <row r="37" spans="1:25" s="62" customFormat="1" x14ac:dyDescent="0.45">
      <c r="A37" s="62" t="s">
        <v>382</v>
      </c>
      <c r="B37" s="78">
        <v>0</v>
      </c>
      <c r="C37" s="78">
        <v>0</v>
      </c>
      <c r="D37" s="78">
        <v>0</v>
      </c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-25697</v>
      </c>
      <c r="K37" s="78">
        <v>-37768</v>
      </c>
      <c r="L37" s="78">
        <v>-17462</v>
      </c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</row>
    <row r="38" spans="1:25" s="62" customFormat="1" x14ac:dyDescent="0.45"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</row>
    <row r="39" spans="1:25" x14ac:dyDescent="0.45">
      <c r="A39" s="67" t="s">
        <v>208</v>
      </c>
      <c r="B39" s="97">
        <f t="shared" ref="B39:D39" si="6">B26+B28</f>
        <v>69960</v>
      </c>
      <c r="C39" s="97">
        <f t="shared" si="6"/>
        <v>62050</v>
      </c>
      <c r="D39" s="97">
        <f t="shared" si="6"/>
        <v>50913</v>
      </c>
      <c r="E39" s="97">
        <f t="shared" ref="E39:Y39" si="7">E26+E28</f>
        <v>62288</v>
      </c>
      <c r="F39" s="97">
        <f t="shared" si="7"/>
        <v>90573</v>
      </c>
      <c r="G39" s="97">
        <f t="shared" si="7"/>
        <v>68681</v>
      </c>
      <c r="H39" s="97">
        <f t="shared" si="7"/>
        <v>69033</v>
      </c>
      <c r="I39" s="97">
        <f t="shared" si="7"/>
        <v>-64414</v>
      </c>
      <c r="J39" s="97">
        <f t="shared" si="7"/>
        <v>64794</v>
      </c>
      <c r="K39" s="97">
        <f t="shared" si="7"/>
        <v>76746</v>
      </c>
      <c r="L39" s="97">
        <f t="shared" si="7"/>
        <v>32258</v>
      </c>
      <c r="M39" s="97">
        <f t="shared" si="7"/>
        <v>0</v>
      </c>
      <c r="N39" s="97">
        <f t="shared" si="7"/>
        <v>0</v>
      </c>
      <c r="O39" s="97">
        <f t="shared" si="7"/>
        <v>0</v>
      </c>
      <c r="P39" s="97">
        <f t="shared" si="7"/>
        <v>0</v>
      </c>
      <c r="Q39" s="97">
        <f t="shared" si="7"/>
        <v>0</v>
      </c>
      <c r="R39" s="97">
        <f t="shared" si="7"/>
        <v>0</v>
      </c>
      <c r="S39" s="97">
        <f t="shared" si="7"/>
        <v>0</v>
      </c>
      <c r="T39" s="97">
        <f t="shared" si="7"/>
        <v>0</v>
      </c>
      <c r="U39" s="97">
        <f t="shared" si="7"/>
        <v>0</v>
      </c>
      <c r="V39" s="97">
        <f t="shared" si="7"/>
        <v>0</v>
      </c>
      <c r="W39" s="97">
        <f t="shared" si="7"/>
        <v>0</v>
      </c>
      <c r="X39" s="97">
        <f t="shared" si="7"/>
        <v>0</v>
      </c>
      <c r="Y39" s="97">
        <f t="shared" si="7"/>
        <v>0</v>
      </c>
    </row>
    <row r="41" spans="1:25" x14ac:dyDescent="0.45">
      <c r="A41" s="67" t="s">
        <v>239</v>
      </c>
      <c r="B41" s="97">
        <f t="shared" ref="B41:Y41" si="8">B42+B43</f>
        <v>-6430</v>
      </c>
      <c r="C41" s="97">
        <f t="shared" si="8"/>
        <v>-6393</v>
      </c>
      <c r="D41" s="97">
        <f t="shared" si="8"/>
        <v>-1001</v>
      </c>
      <c r="E41" s="97">
        <f t="shared" si="8"/>
        <v>-2207</v>
      </c>
      <c r="F41" s="97">
        <f t="shared" si="8"/>
        <v>-7040</v>
      </c>
      <c r="G41" s="97">
        <f t="shared" si="8"/>
        <v>3639</v>
      </c>
      <c r="H41" s="97">
        <f t="shared" si="8"/>
        <v>13624</v>
      </c>
      <c r="I41" s="97">
        <f t="shared" si="8"/>
        <v>-6732</v>
      </c>
      <c r="J41" s="97">
        <f t="shared" si="8"/>
        <v>780</v>
      </c>
      <c r="K41" s="97">
        <f t="shared" si="8"/>
        <v>3186</v>
      </c>
      <c r="L41" s="97">
        <f t="shared" si="8"/>
        <v>250</v>
      </c>
      <c r="M41" s="97">
        <f t="shared" si="8"/>
        <v>0</v>
      </c>
      <c r="N41" s="97">
        <f t="shared" si="8"/>
        <v>0</v>
      </c>
      <c r="O41" s="97">
        <f t="shared" si="8"/>
        <v>0</v>
      </c>
      <c r="P41" s="97">
        <f t="shared" si="8"/>
        <v>0</v>
      </c>
      <c r="Q41" s="97">
        <f t="shared" si="8"/>
        <v>0</v>
      </c>
      <c r="R41" s="97">
        <f t="shared" si="8"/>
        <v>0</v>
      </c>
      <c r="S41" s="97">
        <f t="shared" si="8"/>
        <v>0</v>
      </c>
      <c r="T41" s="97">
        <f t="shared" si="8"/>
        <v>0</v>
      </c>
      <c r="U41" s="97">
        <f t="shared" si="8"/>
        <v>0</v>
      </c>
      <c r="V41" s="97">
        <f t="shared" si="8"/>
        <v>0</v>
      </c>
      <c r="W41" s="97">
        <f t="shared" si="8"/>
        <v>0</v>
      </c>
      <c r="X41" s="97">
        <f t="shared" si="8"/>
        <v>0</v>
      </c>
      <c r="Y41" s="97">
        <f t="shared" si="8"/>
        <v>0</v>
      </c>
    </row>
    <row r="42" spans="1:25" x14ac:dyDescent="0.45">
      <c r="A42" s="59" t="s">
        <v>255</v>
      </c>
      <c r="B42" s="76">
        <v>24068</v>
      </c>
      <c r="C42" s="76">
        <v>6789</v>
      </c>
      <c r="D42" s="76">
        <v>17738</v>
      </c>
      <c r="E42" s="76">
        <v>8058</v>
      </c>
      <c r="F42" s="76">
        <v>2261</v>
      </c>
      <c r="G42" s="76">
        <v>4791</v>
      </c>
      <c r="H42" s="76">
        <v>14119</v>
      </c>
      <c r="I42" s="76">
        <v>969</v>
      </c>
      <c r="J42" s="76">
        <v>1129</v>
      </c>
      <c r="K42" s="76">
        <v>5286</v>
      </c>
      <c r="L42" s="76">
        <v>861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</row>
    <row r="43" spans="1:25" x14ac:dyDescent="0.45">
      <c r="A43" s="59" t="s">
        <v>256</v>
      </c>
      <c r="B43" s="76">
        <v>-30498</v>
      </c>
      <c r="C43" s="76">
        <v>-13182</v>
      </c>
      <c r="D43" s="76">
        <v>-18739</v>
      </c>
      <c r="E43" s="76">
        <v>-10265</v>
      </c>
      <c r="F43" s="76">
        <v>-9301</v>
      </c>
      <c r="G43" s="76">
        <v>-1152</v>
      </c>
      <c r="H43" s="76">
        <v>-495</v>
      </c>
      <c r="I43" s="76">
        <v>-7701</v>
      </c>
      <c r="J43" s="76">
        <v>-349</v>
      </c>
      <c r="K43" s="76">
        <v>-2100</v>
      </c>
      <c r="L43" s="76">
        <v>-611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</row>
    <row r="45" spans="1:25" x14ac:dyDescent="0.45">
      <c r="A45" s="67" t="s">
        <v>209</v>
      </c>
      <c r="B45" s="97">
        <f t="shared" ref="B45:Y45" si="9">B39+B41</f>
        <v>63530</v>
      </c>
      <c r="C45" s="97">
        <f t="shared" si="9"/>
        <v>55657</v>
      </c>
      <c r="D45" s="97">
        <f t="shared" si="9"/>
        <v>49912</v>
      </c>
      <c r="E45" s="97">
        <f t="shared" si="9"/>
        <v>60081</v>
      </c>
      <c r="F45" s="97">
        <f t="shared" si="9"/>
        <v>83533</v>
      </c>
      <c r="G45" s="97">
        <f t="shared" si="9"/>
        <v>72320</v>
      </c>
      <c r="H45" s="97">
        <f t="shared" si="9"/>
        <v>82657</v>
      </c>
      <c r="I45" s="97">
        <f t="shared" si="9"/>
        <v>-71146</v>
      </c>
      <c r="J45" s="97">
        <f t="shared" si="9"/>
        <v>65574</v>
      </c>
      <c r="K45" s="97">
        <f t="shared" si="9"/>
        <v>79932</v>
      </c>
      <c r="L45" s="97">
        <f t="shared" si="9"/>
        <v>32508</v>
      </c>
      <c r="M45" s="97">
        <f t="shared" si="9"/>
        <v>0</v>
      </c>
      <c r="N45" s="97">
        <f t="shared" si="9"/>
        <v>0</v>
      </c>
      <c r="O45" s="97">
        <f t="shared" si="9"/>
        <v>0</v>
      </c>
      <c r="P45" s="97">
        <f t="shared" si="9"/>
        <v>0</v>
      </c>
      <c r="Q45" s="97">
        <f t="shared" si="9"/>
        <v>0</v>
      </c>
      <c r="R45" s="97">
        <f t="shared" si="9"/>
        <v>0</v>
      </c>
      <c r="S45" s="97">
        <f t="shared" si="9"/>
        <v>0</v>
      </c>
      <c r="T45" s="97">
        <f t="shared" si="9"/>
        <v>0</v>
      </c>
      <c r="U45" s="97">
        <f t="shared" si="9"/>
        <v>0</v>
      </c>
      <c r="V45" s="97">
        <f t="shared" si="9"/>
        <v>0</v>
      </c>
      <c r="W45" s="97">
        <f t="shared" si="9"/>
        <v>0</v>
      </c>
      <c r="X45" s="97">
        <f t="shared" si="9"/>
        <v>0</v>
      </c>
      <c r="Y45" s="97">
        <f t="shared" si="9"/>
        <v>0</v>
      </c>
    </row>
    <row r="47" spans="1:25" x14ac:dyDescent="0.45">
      <c r="A47" s="67" t="s">
        <v>238</v>
      </c>
      <c r="B47" s="97">
        <f t="shared" ref="B47:Y47" si="10">SUM(B48:B50)</f>
        <v>-16338</v>
      </c>
      <c r="C47" s="97">
        <f t="shared" si="10"/>
        <v>-16255</v>
      </c>
      <c r="D47" s="97">
        <f t="shared" si="10"/>
        <v>-17161</v>
      </c>
      <c r="E47" s="97">
        <f t="shared" si="10"/>
        <v>-633</v>
      </c>
      <c r="F47" s="97">
        <f t="shared" si="10"/>
        <v>-23540</v>
      </c>
      <c r="G47" s="97">
        <f t="shared" si="10"/>
        <v>-12799</v>
      </c>
      <c r="H47" s="97">
        <f t="shared" si="10"/>
        <v>-34357</v>
      </c>
      <c r="I47" s="97">
        <f t="shared" si="10"/>
        <v>124982</v>
      </c>
      <c r="J47" s="97">
        <f t="shared" si="10"/>
        <v>-18431</v>
      </c>
      <c r="K47" s="97">
        <f t="shared" si="10"/>
        <v>-31668</v>
      </c>
      <c r="L47" s="97">
        <f t="shared" si="10"/>
        <v>7112</v>
      </c>
      <c r="M47" s="97">
        <f t="shared" si="10"/>
        <v>0</v>
      </c>
      <c r="N47" s="97">
        <f t="shared" si="10"/>
        <v>0</v>
      </c>
      <c r="O47" s="97">
        <f t="shared" si="10"/>
        <v>0</v>
      </c>
      <c r="P47" s="97">
        <f t="shared" si="10"/>
        <v>0</v>
      </c>
      <c r="Q47" s="97">
        <f t="shared" si="10"/>
        <v>0</v>
      </c>
      <c r="R47" s="97">
        <f t="shared" si="10"/>
        <v>0</v>
      </c>
      <c r="S47" s="97">
        <f t="shared" si="10"/>
        <v>0</v>
      </c>
      <c r="T47" s="97">
        <f t="shared" si="10"/>
        <v>0</v>
      </c>
      <c r="U47" s="97">
        <f t="shared" si="10"/>
        <v>0</v>
      </c>
      <c r="V47" s="97">
        <f t="shared" si="10"/>
        <v>0</v>
      </c>
      <c r="W47" s="97">
        <f t="shared" si="10"/>
        <v>0</v>
      </c>
      <c r="X47" s="97">
        <f t="shared" si="10"/>
        <v>0</v>
      </c>
      <c r="Y47" s="97">
        <f t="shared" si="10"/>
        <v>0</v>
      </c>
    </row>
    <row r="48" spans="1:25" x14ac:dyDescent="0.45">
      <c r="A48" s="59" t="s">
        <v>258</v>
      </c>
      <c r="B48" s="76">
        <v>-3197</v>
      </c>
      <c r="C48" s="76">
        <v>-4889</v>
      </c>
      <c r="D48" s="76">
        <v>472</v>
      </c>
      <c r="E48" s="76">
        <v>-2354</v>
      </c>
      <c r="F48" s="76">
        <v>-11499</v>
      </c>
      <c r="G48" s="76">
        <v>-3372</v>
      </c>
      <c r="H48" s="76">
        <v>-14485</v>
      </c>
      <c r="I48" s="76">
        <v>25107</v>
      </c>
      <c r="J48" s="76">
        <v>16968</v>
      </c>
      <c r="K48" s="76">
        <v>-7392</v>
      </c>
      <c r="L48" s="76">
        <v>-8250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0</v>
      </c>
      <c r="W48" s="76">
        <v>0</v>
      </c>
      <c r="X48" s="76">
        <v>0</v>
      </c>
      <c r="Y48" s="76">
        <v>0</v>
      </c>
    </row>
    <row r="49" spans="1:25" x14ac:dyDescent="0.45">
      <c r="A49" s="59" t="s">
        <v>259</v>
      </c>
      <c r="B49" s="76">
        <v>-2069</v>
      </c>
      <c r="C49" s="76">
        <v>-3204</v>
      </c>
      <c r="D49" s="76">
        <v>1114</v>
      </c>
      <c r="E49" s="76">
        <v>-967</v>
      </c>
      <c r="F49" s="76">
        <v>-8137</v>
      </c>
      <c r="G49" s="76">
        <v>-1354</v>
      </c>
      <c r="H49" s="76">
        <v>-12611</v>
      </c>
      <c r="I49" s="76">
        <v>21554</v>
      </c>
      <c r="J49" s="76">
        <v>12423</v>
      </c>
      <c r="K49" s="76">
        <v>-2720</v>
      </c>
      <c r="L49" s="76">
        <v>-3921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</row>
    <row r="50" spans="1:25" x14ac:dyDescent="0.45">
      <c r="A50" s="59" t="s">
        <v>260</v>
      </c>
      <c r="B50" s="76">
        <v>-11072</v>
      </c>
      <c r="C50" s="76">
        <v>-8162</v>
      </c>
      <c r="D50" s="76">
        <v>-18747</v>
      </c>
      <c r="E50" s="76">
        <v>2688</v>
      </c>
      <c r="F50" s="76">
        <v>-3904</v>
      </c>
      <c r="G50" s="76">
        <v>-8073</v>
      </c>
      <c r="H50" s="76">
        <v>-7261</v>
      </c>
      <c r="I50" s="76">
        <v>78321</v>
      </c>
      <c r="J50" s="76">
        <v>-47822</v>
      </c>
      <c r="K50" s="76">
        <v>-21556</v>
      </c>
      <c r="L50" s="76">
        <v>19283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</row>
    <row r="52" spans="1:25" x14ac:dyDescent="0.45">
      <c r="A52" s="67" t="s">
        <v>210</v>
      </c>
      <c r="B52" s="97">
        <f t="shared" ref="B52:Y52" si="11">B53+B54</f>
        <v>-11</v>
      </c>
      <c r="C52" s="97">
        <f t="shared" si="11"/>
        <v>-12388</v>
      </c>
      <c r="D52" s="97">
        <f t="shared" si="11"/>
        <v>-4370</v>
      </c>
      <c r="E52" s="97">
        <f t="shared" si="11"/>
        <v>-8669</v>
      </c>
      <c r="F52" s="97">
        <f t="shared" si="11"/>
        <v>-8556</v>
      </c>
      <c r="G52" s="97">
        <f t="shared" si="11"/>
        <v>-10044</v>
      </c>
      <c r="H52" s="97">
        <f t="shared" si="11"/>
        <v>-8157</v>
      </c>
      <c r="I52" s="97">
        <f t="shared" si="11"/>
        <v>-7530</v>
      </c>
      <c r="J52" s="97">
        <f t="shared" si="11"/>
        <v>0</v>
      </c>
      <c r="K52" s="97">
        <f t="shared" si="11"/>
        <v>0</v>
      </c>
      <c r="L52" s="97">
        <f t="shared" si="11"/>
        <v>0</v>
      </c>
      <c r="M52" s="97">
        <f t="shared" si="11"/>
        <v>0</v>
      </c>
      <c r="N52" s="97">
        <f t="shared" si="11"/>
        <v>0</v>
      </c>
      <c r="O52" s="97">
        <f t="shared" si="11"/>
        <v>0</v>
      </c>
      <c r="P52" s="97">
        <f t="shared" si="11"/>
        <v>0</v>
      </c>
      <c r="Q52" s="97">
        <f t="shared" si="11"/>
        <v>0</v>
      </c>
      <c r="R52" s="97">
        <f t="shared" si="11"/>
        <v>0</v>
      </c>
      <c r="S52" s="97">
        <f t="shared" si="11"/>
        <v>0</v>
      </c>
      <c r="T52" s="97">
        <f t="shared" si="11"/>
        <v>0</v>
      </c>
      <c r="U52" s="97">
        <f t="shared" si="11"/>
        <v>0</v>
      </c>
      <c r="V52" s="97">
        <f t="shared" si="11"/>
        <v>0</v>
      </c>
      <c r="W52" s="97">
        <f t="shared" si="11"/>
        <v>0</v>
      </c>
      <c r="X52" s="97">
        <f t="shared" si="11"/>
        <v>0</v>
      </c>
      <c r="Y52" s="97">
        <f t="shared" si="11"/>
        <v>0</v>
      </c>
    </row>
    <row r="53" spans="1:25" x14ac:dyDescent="0.45">
      <c r="A53" s="59" t="s">
        <v>261</v>
      </c>
      <c r="B53" s="76">
        <v>0</v>
      </c>
      <c r="C53" s="76">
        <v>-750</v>
      </c>
      <c r="D53" s="76">
        <v>0</v>
      </c>
      <c r="E53" s="76">
        <v>-1540</v>
      </c>
      <c r="F53" s="76">
        <v>-1689</v>
      </c>
      <c r="G53" s="76">
        <v>-1527</v>
      </c>
      <c r="H53" s="76">
        <v>-1680</v>
      </c>
      <c r="I53" s="76">
        <v>-316</v>
      </c>
      <c r="J53" s="78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</row>
    <row r="54" spans="1:25" x14ac:dyDescent="0.45">
      <c r="A54" s="59" t="s">
        <v>262</v>
      </c>
      <c r="B54" s="76">
        <v>-11</v>
      </c>
      <c r="C54" s="76">
        <v>-11638</v>
      </c>
      <c r="D54" s="76">
        <v>-4370</v>
      </c>
      <c r="E54" s="76">
        <v>-7129</v>
      </c>
      <c r="F54" s="76">
        <v>-6867</v>
      </c>
      <c r="G54" s="76">
        <v>-8517</v>
      </c>
      <c r="H54" s="76">
        <v>-6477</v>
      </c>
      <c r="I54" s="76">
        <v>-7214</v>
      </c>
      <c r="J54" s="78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</row>
    <row r="55" spans="1:25" x14ac:dyDescent="0.45">
      <c r="A55" s="59" t="s">
        <v>122</v>
      </c>
    </row>
    <row r="56" spans="1:25" x14ac:dyDescent="0.45">
      <c r="A56" s="67" t="s">
        <v>352</v>
      </c>
      <c r="B56" s="97">
        <v>-249</v>
      </c>
      <c r="C56" s="97">
        <v>-360</v>
      </c>
      <c r="D56" s="97">
        <v>-379</v>
      </c>
      <c r="E56" s="97">
        <v>-1319</v>
      </c>
      <c r="F56" s="97">
        <v>-196</v>
      </c>
      <c r="G56" s="97">
        <v>-179</v>
      </c>
      <c r="H56" s="97">
        <v>-15</v>
      </c>
      <c r="I56" s="97">
        <v>-2486</v>
      </c>
      <c r="J56" s="97">
        <v>-26</v>
      </c>
      <c r="K56" s="97">
        <v>-81</v>
      </c>
      <c r="L56" s="97">
        <v>480</v>
      </c>
      <c r="M56" s="97">
        <v>0</v>
      </c>
      <c r="N56" s="97">
        <v>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</row>
    <row r="58" spans="1:25" x14ac:dyDescent="0.45">
      <c r="A58" s="67" t="s">
        <v>263</v>
      </c>
      <c r="B58" s="97">
        <f t="shared" ref="B58:Y58" si="12">B45+B47+B52+B56</f>
        <v>46932</v>
      </c>
      <c r="C58" s="97">
        <f t="shared" si="12"/>
        <v>26654</v>
      </c>
      <c r="D58" s="97">
        <f t="shared" si="12"/>
        <v>28002</v>
      </c>
      <c r="E58" s="97">
        <f t="shared" si="12"/>
        <v>49460</v>
      </c>
      <c r="F58" s="97">
        <f t="shared" si="12"/>
        <v>51241</v>
      </c>
      <c r="G58" s="97">
        <f t="shared" si="12"/>
        <v>49298</v>
      </c>
      <c r="H58" s="97">
        <f t="shared" si="12"/>
        <v>40128</v>
      </c>
      <c r="I58" s="97">
        <f t="shared" si="12"/>
        <v>43820</v>
      </c>
      <c r="J58" s="97">
        <f t="shared" si="12"/>
        <v>47117</v>
      </c>
      <c r="K58" s="97">
        <f t="shared" si="12"/>
        <v>48183</v>
      </c>
      <c r="L58" s="97">
        <f t="shared" si="12"/>
        <v>40100</v>
      </c>
      <c r="M58" s="97">
        <f t="shared" si="12"/>
        <v>0</v>
      </c>
      <c r="N58" s="97">
        <f t="shared" si="12"/>
        <v>0</v>
      </c>
      <c r="O58" s="97">
        <f t="shared" si="12"/>
        <v>0</v>
      </c>
      <c r="P58" s="97">
        <f t="shared" si="12"/>
        <v>0</v>
      </c>
      <c r="Q58" s="97">
        <f t="shared" si="12"/>
        <v>0</v>
      </c>
      <c r="R58" s="97">
        <f t="shared" si="12"/>
        <v>0</v>
      </c>
      <c r="S58" s="97">
        <f t="shared" si="12"/>
        <v>0</v>
      </c>
      <c r="T58" s="97">
        <f t="shared" si="12"/>
        <v>0</v>
      </c>
      <c r="U58" s="97">
        <f t="shared" si="12"/>
        <v>0</v>
      </c>
      <c r="V58" s="97">
        <f t="shared" si="12"/>
        <v>0</v>
      </c>
      <c r="W58" s="97">
        <f t="shared" si="12"/>
        <v>0</v>
      </c>
      <c r="X58" s="97">
        <f t="shared" si="12"/>
        <v>0</v>
      </c>
      <c r="Y58" s="97">
        <f t="shared" si="12"/>
        <v>0</v>
      </c>
    </row>
    <row r="60" spans="1:25" x14ac:dyDescent="0.45">
      <c r="B60" s="101" t="s">
        <v>122</v>
      </c>
      <c r="E60" s="101">
        <f>E58+D58+C58+B58-'DRE Anual'!B58</f>
        <v>0</v>
      </c>
      <c r="F60" s="101" t="s">
        <v>122</v>
      </c>
      <c r="I60" s="101">
        <f>F58+G58+H58+I58-'DRE Anual'!C58</f>
        <v>0</v>
      </c>
      <c r="J60" s="101" t="s">
        <v>122</v>
      </c>
      <c r="L60" s="101">
        <f>J58+K58+L58-'DRE Anual'!D58</f>
        <v>0</v>
      </c>
    </row>
  </sheetData>
  <hyperlinks>
    <hyperlink ref="B6" location="Índice!A1" display="Índice"/>
    <hyperlink ref="M6" location="Índice!A1" display="Índice"/>
  </hyperlinks>
  <pageMargins left="0.51181102362204722" right="0.51181102362204722" top="0.78740157480314965" bottom="0.78740157480314965" header="0.31496062992125984" footer="0.31496062992125984"/>
  <pageSetup paperSize="9" scale="3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G59"/>
  <sheetViews>
    <sheetView showGridLines="0" zoomScaleNormal="100" workbookViewId="0">
      <pane xSplit="1" ySplit="9" topLeftCell="B10" activePane="bottomRight" state="frozen"/>
      <selection activeCell="C8" sqref="C8"/>
      <selection pane="topRight" activeCell="C8" sqref="C8"/>
      <selection pane="bottomLeft" activeCell="C8" sqref="C8"/>
      <selection pane="bottomRight" activeCell="D8" sqref="D8"/>
    </sheetView>
  </sheetViews>
  <sheetFormatPr defaultColWidth="9.1796875" defaultRowHeight="16" x14ac:dyDescent="0.45"/>
  <cols>
    <col min="1" max="1" width="70.7265625" style="59" customWidth="1"/>
    <col min="2" max="2" width="12" style="59" customWidth="1"/>
    <col min="3" max="3" width="13.54296875" style="59" bestFit="1" customWidth="1"/>
    <col min="4" max="4" width="12.54296875" style="59" bestFit="1" customWidth="1"/>
    <col min="5" max="7" width="9.26953125" style="59" bestFit="1" customWidth="1"/>
    <col min="8" max="16384" width="9.1796875" style="59"/>
  </cols>
  <sheetData>
    <row r="1" spans="1:7" ht="16.5" x14ac:dyDescent="0.45">
      <c r="A1" s="55"/>
    </row>
    <row r="2" spans="1:7" ht="16.5" x14ac:dyDescent="0.45">
      <c r="A2" s="92" t="s">
        <v>165</v>
      </c>
    </row>
    <row r="3" spans="1:7" ht="6.75" customHeight="1" x14ac:dyDescent="0.45">
      <c r="A3" s="91"/>
    </row>
    <row r="4" spans="1:7" ht="16.5" x14ac:dyDescent="0.45">
      <c r="A4" s="92" t="s">
        <v>13</v>
      </c>
    </row>
    <row r="5" spans="1:7" ht="6.75" customHeight="1" x14ac:dyDescent="0.45">
      <c r="A5" s="55"/>
    </row>
    <row r="6" spans="1:7" ht="16.5" x14ac:dyDescent="0.45">
      <c r="A6" s="93"/>
      <c r="B6" s="63" t="s">
        <v>15</v>
      </c>
    </row>
    <row r="7" spans="1:7" ht="17.25" customHeight="1" x14ac:dyDescent="0.45">
      <c r="A7" s="94" t="s">
        <v>388</v>
      </c>
    </row>
    <row r="8" spans="1:7" x14ac:dyDescent="0.45">
      <c r="A8" s="59" t="s">
        <v>211</v>
      </c>
    </row>
    <row r="9" spans="1:7" x14ac:dyDescent="0.45">
      <c r="A9" s="64"/>
      <c r="B9" s="103">
        <v>2020</v>
      </c>
      <c r="C9" s="103">
        <v>2021</v>
      </c>
      <c r="D9" s="103">
        <v>2022</v>
      </c>
      <c r="E9" s="103">
        <v>2023</v>
      </c>
      <c r="F9" s="103">
        <v>2024</v>
      </c>
      <c r="G9" s="103">
        <v>2025</v>
      </c>
    </row>
    <row r="10" spans="1:7" ht="18" customHeight="1" x14ac:dyDescent="0.45">
      <c r="A10" s="95" t="s">
        <v>205</v>
      </c>
      <c r="B10" s="87">
        <f t="shared" ref="B10:G10" si="0">SUM(B11:B16)</f>
        <v>2300725</v>
      </c>
      <c r="C10" s="87">
        <f t="shared" si="0"/>
        <v>2606505</v>
      </c>
      <c r="D10" s="87">
        <f t="shared" si="0"/>
        <v>2679644</v>
      </c>
      <c r="E10" s="87">
        <f t="shared" si="0"/>
        <v>0</v>
      </c>
      <c r="F10" s="87">
        <f t="shared" si="0"/>
        <v>0</v>
      </c>
      <c r="G10" s="87">
        <f t="shared" si="0"/>
        <v>0</v>
      </c>
    </row>
    <row r="11" spans="1:7" x14ac:dyDescent="0.45">
      <c r="A11" s="62" t="s">
        <v>241</v>
      </c>
      <c r="B11" s="96">
        <f>'[4]DRE-BACEN-2020'!$K$12</f>
        <v>1913802</v>
      </c>
      <c r="C11" s="96">
        <f>'[8]DRE-BACEN-2021'!$L$12</f>
        <v>2301215</v>
      </c>
      <c r="D11" s="96">
        <v>2343119</v>
      </c>
      <c r="E11" s="62"/>
      <c r="F11" s="62"/>
      <c r="G11" s="62"/>
    </row>
    <row r="12" spans="1:7" x14ac:dyDescent="0.45">
      <c r="A12" s="62" t="s">
        <v>242</v>
      </c>
      <c r="B12" s="96">
        <f>'[4]DRE-BACEN-2020'!$K$13</f>
        <v>109416</v>
      </c>
      <c r="C12" s="96">
        <f>'[8]DRE-BACEN-2021'!$L$13</f>
        <v>99743</v>
      </c>
      <c r="D12" s="96">
        <v>205236</v>
      </c>
      <c r="E12" s="62"/>
      <c r="F12" s="62"/>
      <c r="G12" s="62"/>
    </row>
    <row r="13" spans="1:7" x14ac:dyDescent="0.45">
      <c r="A13" s="62" t="s">
        <v>243</v>
      </c>
      <c r="B13" s="96">
        <f>'[4]DRE-BACEN-2020'!$K$14</f>
        <v>117040</v>
      </c>
      <c r="C13" s="96">
        <f>'[8]DRE-BACEN-2021'!$L$14</f>
        <v>41506</v>
      </c>
      <c r="D13" s="96">
        <v>34286</v>
      </c>
      <c r="E13" s="62"/>
      <c r="F13" s="62"/>
      <c r="G13" s="62"/>
    </row>
    <row r="14" spans="1:7" x14ac:dyDescent="0.45">
      <c r="A14" s="62" t="s">
        <v>244</v>
      </c>
      <c r="B14" s="96">
        <f>'[4]DRE-BACEN-2020'!$K$15</f>
        <v>33728</v>
      </c>
      <c r="C14" s="96">
        <f>'[8]DRE-BACEN-2021'!$L$15</f>
        <v>14170</v>
      </c>
      <c r="D14" s="76">
        <v>-3440</v>
      </c>
      <c r="E14" s="62"/>
      <c r="F14" s="62"/>
      <c r="G14" s="62"/>
    </row>
    <row r="15" spans="1:7" x14ac:dyDescent="0.45">
      <c r="A15" s="62" t="s">
        <v>245</v>
      </c>
      <c r="B15" s="96">
        <f>'[4]DRE-BACEN-2020'!$K$16</f>
        <v>2597</v>
      </c>
      <c r="C15" s="96">
        <f>'[8]DRE-BACEN-2021'!$L$16</f>
        <v>3636</v>
      </c>
      <c r="D15" s="96">
        <v>4507</v>
      </c>
      <c r="E15" s="62"/>
      <c r="F15" s="62"/>
      <c r="G15" s="62"/>
    </row>
    <row r="16" spans="1:7" x14ac:dyDescent="0.45">
      <c r="A16" s="62" t="s">
        <v>247</v>
      </c>
      <c r="B16" s="96">
        <f>'[4]DRE-BACEN-2020'!$K$17</f>
        <v>124142</v>
      </c>
      <c r="C16" s="96">
        <f>'[8]DRE-BACEN-2021'!$L$17</f>
        <v>146235</v>
      </c>
      <c r="D16" s="96">
        <v>95936</v>
      </c>
      <c r="E16" s="62"/>
      <c r="F16" s="62"/>
      <c r="G16" s="62"/>
    </row>
    <row r="17" spans="1:7" x14ac:dyDescent="0.45">
      <c r="A17" s="62"/>
      <c r="B17" s="96"/>
      <c r="C17" s="100"/>
      <c r="D17" s="100"/>
      <c r="E17" s="62"/>
      <c r="F17" s="62"/>
      <c r="G17" s="62"/>
    </row>
    <row r="18" spans="1:7" x14ac:dyDescent="0.45">
      <c r="A18" s="67" t="s">
        <v>206</v>
      </c>
      <c r="B18" s="97">
        <f t="shared" ref="B18:G18" si="1">SUM(B19:B21)</f>
        <v>-437363</v>
      </c>
      <c r="C18" s="97">
        <f t="shared" si="1"/>
        <v>-372776</v>
      </c>
      <c r="D18" s="97">
        <f t="shared" si="1"/>
        <v>-854893</v>
      </c>
      <c r="E18" s="97">
        <f t="shared" si="1"/>
        <v>0</v>
      </c>
      <c r="F18" s="97">
        <f t="shared" si="1"/>
        <v>0</v>
      </c>
      <c r="G18" s="97">
        <f t="shared" si="1"/>
        <v>0</v>
      </c>
    </row>
    <row r="19" spans="1:7" x14ac:dyDescent="0.45">
      <c r="A19" s="62" t="s">
        <v>246</v>
      </c>
      <c r="B19" s="76">
        <f>'[4]DRE-BACEN-2020'!$K$20</f>
        <v>-422504</v>
      </c>
      <c r="C19" s="76">
        <f>'[8]DRE-BACEN-2021'!$L$20</f>
        <v>-369510</v>
      </c>
      <c r="D19" s="76">
        <v>-788441</v>
      </c>
      <c r="E19" s="62"/>
      <c r="F19" s="62"/>
      <c r="G19" s="62"/>
    </row>
    <row r="20" spans="1:7" x14ac:dyDescent="0.45">
      <c r="A20" s="62" t="s">
        <v>257</v>
      </c>
      <c r="B20" s="76">
        <f>'[4]DRE-BACEN-2020'!$K$21</f>
        <v>-11774</v>
      </c>
      <c r="C20" s="76">
        <f>'[8]DRE-BACEN-2021'!$L$21</f>
        <v>-443</v>
      </c>
      <c r="D20" s="76">
        <v>-646</v>
      </c>
      <c r="E20" s="62"/>
      <c r="F20" s="62"/>
      <c r="G20" s="62"/>
    </row>
    <row r="21" spans="1:7" x14ac:dyDescent="0.45">
      <c r="A21" s="62" t="s">
        <v>247</v>
      </c>
      <c r="B21" s="76">
        <f>'[4]DRE-BACEN-2020'!$K$23</f>
        <v>-3085</v>
      </c>
      <c r="C21" s="76">
        <f>'[8]DRE-BACEN-2021'!$L$23</f>
        <v>-2823</v>
      </c>
      <c r="D21" s="76">
        <v>-65806</v>
      </c>
      <c r="E21" s="62"/>
      <c r="F21" s="62"/>
      <c r="G21" s="62"/>
    </row>
    <row r="22" spans="1:7" x14ac:dyDescent="0.45">
      <c r="A22" s="67" t="s">
        <v>353</v>
      </c>
      <c r="B22" s="97">
        <f t="shared" ref="B22:G22" si="2">B10+B18</f>
        <v>1863362</v>
      </c>
      <c r="C22" s="97">
        <f t="shared" si="2"/>
        <v>2233729</v>
      </c>
      <c r="D22" s="97">
        <f t="shared" si="2"/>
        <v>1824751</v>
      </c>
      <c r="E22" s="97">
        <f t="shared" si="2"/>
        <v>0</v>
      </c>
      <c r="F22" s="97">
        <f t="shared" si="2"/>
        <v>0</v>
      </c>
      <c r="G22" s="97">
        <f t="shared" si="2"/>
        <v>0</v>
      </c>
    </row>
    <row r="23" spans="1:7" x14ac:dyDescent="0.45">
      <c r="A23" s="62"/>
      <c r="B23" s="96"/>
      <c r="C23" s="96"/>
      <c r="D23" s="96"/>
      <c r="E23" s="62"/>
      <c r="F23" s="62"/>
      <c r="G23" s="62"/>
    </row>
    <row r="24" spans="1:7" s="73" customFormat="1" x14ac:dyDescent="0.45">
      <c r="A24" s="67" t="s">
        <v>402</v>
      </c>
      <c r="B24" s="97">
        <f>'[4]DRE-BACEN-2020'!$K$27</f>
        <v>-326310</v>
      </c>
      <c r="C24" s="97">
        <f>'[8]DRE-BACEN-2021'!$L$26</f>
        <v>-344697</v>
      </c>
      <c r="D24" s="97">
        <v>-231807</v>
      </c>
      <c r="E24" s="97"/>
      <c r="F24" s="97"/>
      <c r="G24" s="97"/>
    </row>
    <row r="25" spans="1:7" x14ac:dyDescent="0.45">
      <c r="A25" s="62"/>
      <c r="B25" s="96"/>
      <c r="C25" s="96"/>
      <c r="D25" s="96"/>
      <c r="E25" s="62"/>
      <c r="F25" s="62"/>
      <c r="G25" s="62"/>
    </row>
    <row r="26" spans="1:7" x14ac:dyDescent="0.45">
      <c r="A26" s="67" t="s">
        <v>204</v>
      </c>
      <c r="B26" s="97">
        <f t="shared" ref="B26:G26" si="3">B22+B24</f>
        <v>1537052</v>
      </c>
      <c r="C26" s="97">
        <f t="shared" si="3"/>
        <v>1889032</v>
      </c>
      <c r="D26" s="97">
        <f t="shared" si="3"/>
        <v>1592944</v>
      </c>
      <c r="E26" s="97">
        <f t="shared" si="3"/>
        <v>0</v>
      </c>
      <c r="F26" s="97">
        <f t="shared" si="3"/>
        <v>0</v>
      </c>
      <c r="G26" s="97">
        <f t="shared" si="3"/>
        <v>0</v>
      </c>
    </row>
    <row r="27" spans="1:7" s="62" customFormat="1" x14ac:dyDescent="0.45">
      <c r="A27" s="98"/>
      <c r="B27" s="99"/>
      <c r="C27" s="99"/>
      <c r="D27" s="99"/>
      <c r="E27" s="99"/>
      <c r="F27" s="99"/>
      <c r="G27" s="99"/>
    </row>
    <row r="28" spans="1:7" x14ac:dyDescent="0.45">
      <c r="A28" s="67" t="s">
        <v>207</v>
      </c>
      <c r="B28" s="97">
        <f>B29+B32+B33+B34+B35+B36+B37</f>
        <v>-1291841</v>
      </c>
      <c r="C28" s="97">
        <f t="shared" ref="C28:G28" si="4">C29+C32+C33+C34+C35+C36+C37</f>
        <v>-1725159</v>
      </c>
      <c r="D28" s="97">
        <f t="shared" si="4"/>
        <v>-1419146</v>
      </c>
      <c r="E28" s="97">
        <f t="shared" si="4"/>
        <v>0</v>
      </c>
      <c r="F28" s="97">
        <f t="shared" si="4"/>
        <v>0</v>
      </c>
      <c r="G28" s="97">
        <f t="shared" si="4"/>
        <v>0</v>
      </c>
    </row>
    <row r="29" spans="1:7" x14ac:dyDescent="0.45">
      <c r="A29" s="62" t="s">
        <v>248</v>
      </c>
      <c r="B29" s="100">
        <f t="shared" ref="B29:G29" si="5">B30+B31</f>
        <v>318399</v>
      </c>
      <c r="C29" s="100">
        <f t="shared" si="5"/>
        <v>352594</v>
      </c>
      <c r="D29" s="100">
        <f t="shared" si="5"/>
        <v>310164</v>
      </c>
      <c r="E29" s="100">
        <f t="shared" si="5"/>
        <v>0</v>
      </c>
      <c r="F29" s="100">
        <f t="shared" si="5"/>
        <v>0</v>
      </c>
      <c r="G29" s="100">
        <f t="shared" si="5"/>
        <v>0</v>
      </c>
    </row>
    <row r="30" spans="1:7" x14ac:dyDescent="0.45">
      <c r="A30" s="62" t="s">
        <v>249</v>
      </c>
      <c r="B30" s="96">
        <f>'[4]DRE-BACEN-2020'!$K$33</f>
        <v>96522</v>
      </c>
      <c r="C30" s="96">
        <f>'[8]DRE-BACEN-2021'!$L$32</f>
        <v>165402</v>
      </c>
      <c r="D30" s="96">
        <v>148560</v>
      </c>
      <c r="E30" s="62"/>
      <c r="F30" s="62"/>
      <c r="G30" s="62"/>
    </row>
    <row r="31" spans="1:7" x14ac:dyDescent="0.45">
      <c r="A31" s="62" t="s">
        <v>250</v>
      </c>
      <c r="B31" s="96">
        <f>'[4]DRE-BACEN-2020'!$K$34</f>
        <v>221877</v>
      </c>
      <c r="C31" s="96">
        <f>'[8]DRE-BACEN-2021'!$L$33</f>
        <v>187192</v>
      </c>
      <c r="D31" s="96">
        <v>161604</v>
      </c>
      <c r="E31" s="62"/>
      <c r="F31" s="62"/>
      <c r="G31" s="62"/>
    </row>
    <row r="32" spans="1:7" x14ac:dyDescent="0.45">
      <c r="A32" s="62" t="s">
        <v>251</v>
      </c>
      <c r="B32" s="76">
        <f>'[4]DRE-BACEN-2020'!$K$38</f>
        <v>-458854</v>
      </c>
      <c r="C32" s="76">
        <f>'[8]DRE-BACEN-2021'!$L$37</f>
        <v>-500440</v>
      </c>
      <c r="D32" s="76">
        <v>-363381</v>
      </c>
      <c r="E32" s="62"/>
      <c r="F32" s="62"/>
      <c r="G32" s="62"/>
    </row>
    <row r="33" spans="1:7" x14ac:dyDescent="0.45">
      <c r="A33" s="62" t="s">
        <v>252</v>
      </c>
      <c r="B33" s="76">
        <f>'[4]DRE-BACEN-2020'!$K$39</f>
        <v>-683853</v>
      </c>
      <c r="C33" s="76">
        <f>'[8]DRE-BACEN-2021'!$L$38</f>
        <v>-851450</v>
      </c>
      <c r="D33" s="76">
        <v>-656565</v>
      </c>
      <c r="E33" s="62"/>
      <c r="F33" s="62"/>
      <c r="G33" s="62"/>
    </row>
    <row r="34" spans="1:7" x14ac:dyDescent="0.45">
      <c r="A34" s="62" t="s">
        <v>253</v>
      </c>
      <c r="B34" s="76">
        <f>'[4]DRE-BACEN-2020'!$K$40</f>
        <v>-117806</v>
      </c>
      <c r="C34" s="76">
        <f>'[8]DRE-BACEN-2021'!$L$39</f>
        <v>-148498</v>
      </c>
      <c r="D34" s="76">
        <v>-120093</v>
      </c>
      <c r="E34" s="62"/>
      <c r="F34" s="62"/>
      <c r="G34" s="62"/>
    </row>
    <row r="35" spans="1:7" x14ac:dyDescent="0.45">
      <c r="A35" s="62" t="s">
        <v>264</v>
      </c>
      <c r="B35" s="76">
        <f>'[4]DRE-BACEN-2020'!$K$41</f>
        <v>52238</v>
      </c>
      <c r="C35" s="76">
        <f>'[8]DRE-BACEN-2021'!$L$40</f>
        <v>91938</v>
      </c>
      <c r="D35" s="76">
        <v>70013</v>
      </c>
      <c r="E35" s="100"/>
      <c r="F35" s="100"/>
      <c r="G35" s="100"/>
    </row>
    <row r="36" spans="1:7" x14ac:dyDescent="0.45">
      <c r="A36" s="62" t="s">
        <v>254</v>
      </c>
      <c r="B36" s="76">
        <f>'[4]DRE-BACEN-2020'!$K$46</f>
        <v>-401965</v>
      </c>
      <c r="C36" s="76">
        <f>'[8]DRE-BACEN-2021'!$L$45</f>
        <v>-669303</v>
      </c>
      <c r="D36" s="76">
        <v>-578357</v>
      </c>
      <c r="E36" s="100"/>
      <c r="F36" s="100"/>
      <c r="G36" s="100"/>
    </row>
    <row r="37" spans="1:7" x14ac:dyDescent="0.45">
      <c r="A37" s="62" t="s">
        <v>382</v>
      </c>
      <c r="B37" s="76">
        <v>0</v>
      </c>
      <c r="C37" s="76">
        <v>0</v>
      </c>
      <c r="D37" s="76">
        <v>-80927</v>
      </c>
      <c r="E37" s="100"/>
      <c r="F37" s="100"/>
      <c r="G37" s="100"/>
    </row>
    <row r="38" spans="1:7" s="62" customFormat="1" x14ac:dyDescent="0.45">
      <c r="B38" s="104"/>
    </row>
    <row r="39" spans="1:7" x14ac:dyDescent="0.45">
      <c r="A39" s="67" t="s">
        <v>208</v>
      </c>
      <c r="B39" s="97">
        <f t="shared" ref="B39:G39" si="6">B26+B28</f>
        <v>245211</v>
      </c>
      <c r="C39" s="97">
        <f t="shared" si="6"/>
        <v>163873</v>
      </c>
      <c r="D39" s="97">
        <f t="shared" si="6"/>
        <v>173798</v>
      </c>
      <c r="E39" s="97">
        <f t="shared" si="6"/>
        <v>0</v>
      </c>
      <c r="F39" s="97">
        <f t="shared" si="6"/>
        <v>0</v>
      </c>
      <c r="G39" s="97">
        <f t="shared" si="6"/>
        <v>0</v>
      </c>
    </row>
    <row r="41" spans="1:7" x14ac:dyDescent="0.45">
      <c r="A41" s="67" t="s">
        <v>239</v>
      </c>
      <c r="B41" s="97">
        <f t="shared" ref="B41:G41" si="7">B42+B43</f>
        <v>-16031</v>
      </c>
      <c r="C41" s="97">
        <f t="shared" si="7"/>
        <v>3491</v>
      </c>
      <c r="D41" s="97">
        <f t="shared" si="7"/>
        <v>4216</v>
      </c>
      <c r="E41" s="97">
        <f t="shared" si="7"/>
        <v>0</v>
      </c>
      <c r="F41" s="97">
        <f t="shared" si="7"/>
        <v>0</v>
      </c>
      <c r="G41" s="97">
        <f t="shared" si="7"/>
        <v>0</v>
      </c>
    </row>
    <row r="42" spans="1:7" x14ac:dyDescent="0.45">
      <c r="A42" s="59" t="s">
        <v>255</v>
      </c>
      <c r="B42" s="75">
        <f>'[4]DRE-BACEN-2020'!$K$59</f>
        <v>56653</v>
      </c>
      <c r="C42" s="75">
        <f>'[8]DRE-BACEN-2021'!$L$58</f>
        <v>22140</v>
      </c>
      <c r="D42" s="75">
        <v>7276</v>
      </c>
    </row>
    <row r="43" spans="1:7" x14ac:dyDescent="0.45">
      <c r="A43" s="59" t="s">
        <v>256</v>
      </c>
      <c r="B43" s="76">
        <f>'[4]DRE-BACEN-2020'!$K$60</f>
        <v>-72684</v>
      </c>
      <c r="C43" s="76">
        <f>'[8]DRE-BACEN-2021'!$L$59</f>
        <v>-18649</v>
      </c>
      <c r="D43" s="76">
        <v>-3060</v>
      </c>
    </row>
    <row r="45" spans="1:7" x14ac:dyDescent="0.45">
      <c r="A45" s="67" t="s">
        <v>209</v>
      </c>
      <c r="B45" s="97">
        <f t="shared" ref="B45:G45" si="8">B39+B41</f>
        <v>229180</v>
      </c>
      <c r="C45" s="97">
        <f t="shared" si="8"/>
        <v>167364</v>
      </c>
      <c r="D45" s="97">
        <f t="shared" si="8"/>
        <v>178014</v>
      </c>
      <c r="E45" s="97">
        <f t="shared" si="8"/>
        <v>0</v>
      </c>
      <c r="F45" s="97">
        <f t="shared" si="8"/>
        <v>0</v>
      </c>
      <c r="G45" s="97">
        <f t="shared" si="8"/>
        <v>0</v>
      </c>
    </row>
    <row r="47" spans="1:7" x14ac:dyDescent="0.45">
      <c r="A47" s="67" t="s">
        <v>238</v>
      </c>
      <c r="B47" s="97">
        <f t="shared" ref="B47" si="9">SUM(B48:B50)</f>
        <v>-50387</v>
      </c>
      <c r="C47" s="97">
        <f t="shared" ref="C47" si="10">SUM(C48:C50)</f>
        <v>54286</v>
      </c>
      <c r="D47" s="97">
        <f t="shared" ref="D47" si="11">SUM(D48:D50)</f>
        <v>-42987</v>
      </c>
      <c r="E47" s="97">
        <f t="shared" ref="E47" si="12">SUM(E48:E50)</f>
        <v>0</v>
      </c>
      <c r="F47" s="97">
        <f t="shared" ref="F47" si="13">SUM(F48:F50)</f>
        <v>0</v>
      </c>
      <c r="G47" s="97">
        <f t="shared" ref="G47" si="14">SUM(G48:G50)</f>
        <v>0</v>
      </c>
    </row>
    <row r="48" spans="1:7" x14ac:dyDescent="0.45">
      <c r="A48" s="59" t="s">
        <v>258</v>
      </c>
      <c r="B48" s="76">
        <f>'[4]DRE-BACEN-2020'!$K$65</f>
        <v>-9968</v>
      </c>
      <c r="C48" s="76">
        <f>'[8]DRE-BACEN-2021'!$L$64</f>
        <v>-4249</v>
      </c>
      <c r="D48" s="76">
        <v>1326</v>
      </c>
    </row>
    <row r="49" spans="1:7" x14ac:dyDescent="0.45">
      <c r="A49" s="59" t="s">
        <v>259</v>
      </c>
      <c r="B49" s="76">
        <f>'[4]DRE-BACEN-2020'!$K$66</f>
        <v>-5126</v>
      </c>
      <c r="C49" s="76">
        <f>'[8]DRE-BACEN-2021'!$L$65</f>
        <v>-548</v>
      </c>
      <c r="D49" s="76">
        <v>5782</v>
      </c>
    </row>
    <row r="50" spans="1:7" x14ac:dyDescent="0.45">
      <c r="A50" s="59" t="s">
        <v>260</v>
      </c>
      <c r="B50" s="76">
        <f>'[4]DRE-BACEN-2020'!$K$67</f>
        <v>-35293</v>
      </c>
      <c r="C50" s="76">
        <f>'[8]DRE-BACEN-2021'!$L$66</f>
        <v>59083</v>
      </c>
      <c r="D50" s="76">
        <v>-50095</v>
      </c>
    </row>
    <row r="52" spans="1:7" x14ac:dyDescent="0.45">
      <c r="A52" s="67" t="s">
        <v>210</v>
      </c>
      <c r="B52" s="97">
        <f t="shared" ref="B52" si="15">B53+B54</f>
        <v>-25438</v>
      </c>
      <c r="C52" s="97">
        <f t="shared" ref="C52" si="16">C53+C54</f>
        <v>-34287</v>
      </c>
      <c r="D52" s="97">
        <f t="shared" ref="D52" si="17">D53+D54</f>
        <v>0</v>
      </c>
      <c r="E52" s="97">
        <f t="shared" ref="E52" si="18">E53+E54</f>
        <v>0</v>
      </c>
      <c r="F52" s="97">
        <f t="shared" ref="F52" si="19">F53+F54</f>
        <v>0</v>
      </c>
      <c r="G52" s="97">
        <f t="shared" ref="G52" si="20">G53+G54</f>
        <v>0</v>
      </c>
    </row>
    <row r="53" spans="1:7" x14ac:dyDescent="0.45">
      <c r="A53" s="59" t="s">
        <v>261</v>
      </c>
      <c r="B53" s="76">
        <f>'[4]DRE-BACEN-2020'!$K$70</f>
        <v>-2290</v>
      </c>
      <c r="C53" s="76">
        <f>'[8]DRE-BACEN-2021'!$L$69</f>
        <v>-5212</v>
      </c>
      <c r="D53" s="76">
        <v>0</v>
      </c>
    </row>
    <row r="54" spans="1:7" x14ac:dyDescent="0.45">
      <c r="A54" s="59" t="s">
        <v>262</v>
      </c>
      <c r="B54" s="76">
        <f>'[4]DRE-BACEN-2020'!$K$71</f>
        <v>-23148</v>
      </c>
      <c r="C54" s="76">
        <f>'[8]DRE-BACEN-2021'!$L$70</f>
        <v>-29075</v>
      </c>
      <c r="D54" s="76">
        <v>0</v>
      </c>
    </row>
    <row r="55" spans="1:7" x14ac:dyDescent="0.45">
      <c r="A55" s="59" t="s">
        <v>122</v>
      </c>
    </row>
    <row r="56" spans="1:7" x14ac:dyDescent="0.45">
      <c r="A56" s="67" t="s">
        <v>352</v>
      </c>
      <c r="B56" s="97">
        <f>'[4]DRE-BACEN-2020'!$K$73</f>
        <v>-2307</v>
      </c>
      <c r="C56" s="97">
        <f>'[8]DRE-BACEN-2021'!$L$72</f>
        <v>-2876</v>
      </c>
      <c r="D56" s="97">
        <v>373</v>
      </c>
      <c r="E56" s="97"/>
      <c r="F56" s="97"/>
      <c r="G56" s="97"/>
    </row>
    <row r="58" spans="1:7" x14ac:dyDescent="0.45">
      <c r="A58" s="105" t="s">
        <v>263</v>
      </c>
      <c r="B58" s="97">
        <f t="shared" ref="B58:G58" si="21">B45+B47+B52+B56</f>
        <v>151048</v>
      </c>
      <c r="C58" s="97">
        <f t="shared" si="21"/>
        <v>184487</v>
      </c>
      <c r="D58" s="97">
        <f t="shared" si="21"/>
        <v>135400</v>
      </c>
      <c r="E58" s="97">
        <f t="shared" si="21"/>
        <v>0</v>
      </c>
      <c r="F58" s="97">
        <f t="shared" si="21"/>
        <v>0</v>
      </c>
      <c r="G58" s="97">
        <f t="shared" si="21"/>
        <v>0</v>
      </c>
    </row>
    <row r="59" spans="1:7" x14ac:dyDescent="0.45">
      <c r="B59" s="102"/>
      <c r="C59" s="106" t="s">
        <v>122</v>
      </c>
      <c r="D59" s="107" t="s">
        <v>403</v>
      </c>
      <c r="E59" s="106"/>
    </row>
  </sheetData>
  <hyperlinks>
    <hyperlink ref="B6" location="Índice!A1" display="Índice"/>
  </hyperlinks>
  <pageMargins left="0.51181102362204722" right="0.51181102362204722" top="0.78740157480314965" bottom="0.78740157480314965" header="0.31496062992125984" footer="0.31496062992125984"/>
  <pageSetup paperSize="9" scale="7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2:AT67"/>
  <sheetViews>
    <sheetView showGridLines="0" zoomScaleNormal="100" workbookViewId="0">
      <pane xSplit="1" ySplit="9" topLeftCell="AH10" activePane="bottomRight" state="frozen"/>
      <selection pane="topRight" activeCell="B1" sqref="B1"/>
      <selection pane="bottomLeft" activeCell="A10" sqref="A10"/>
      <selection pane="bottomRight" activeCell="AT9" sqref="AT9"/>
    </sheetView>
  </sheetViews>
  <sheetFormatPr defaultRowHeight="14.5" x14ac:dyDescent="0.35"/>
  <cols>
    <col min="1" max="1" width="61.81640625" bestFit="1" customWidth="1"/>
    <col min="2" max="31" width="12" customWidth="1"/>
    <col min="32" max="32" width="13.26953125" bestFit="1" customWidth="1"/>
    <col min="33" max="40" width="11.54296875" bestFit="1" customWidth="1"/>
    <col min="41" max="42" width="10.54296875" bestFit="1" customWidth="1"/>
    <col min="43" max="43" width="10.54296875" customWidth="1"/>
    <col min="44" max="46" width="10.54296875" bestFit="1" customWidth="1"/>
  </cols>
  <sheetData>
    <row r="2" spans="1:46" ht="21" x14ac:dyDescent="0.5">
      <c r="A2" s="8" t="s">
        <v>12</v>
      </c>
    </row>
    <row r="3" spans="1:46" ht="6.75" customHeight="1" x14ac:dyDescent="0.35">
      <c r="A3" s="7"/>
    </row>
    <row r="4" spans="1:46" x14ac:dyDescent="0.35">
      <c r="A4" s="6" t="s">
        <v>13</v>
      </c>
    </row>
    <row r="5" spans="1:46" ht="6.75" customHeight="1" x14ac:dyDescent="0.35"/>
    <row r="6" spans="1:46" x14ac:dyDescent="0.35">
      <c r="A6" s="9"/>
      <c r="B6" s="11" t="s">
        <v>15</v>
      </c>
      <c r="AP6" s="11"/>
      <c r="AQ6" s="11"/>
      <c r="AS6" s="11"/>
      <c r="AT6" s="11" t="s">
        <v>15</v>
      </c>
    </row>
    <row r="7" spans="1:46" ht="17.25" customHeight="1" x14ac:dyDescent="0.35">
      <c r="A7" s="10" t="s">
        <v>5</v>
      </c>
    </row>
    <row r="8" spans="1:46" x14ac:dyDescent="0.35">
      <c r="A8" s="1" t="s">
        <v>101</v>
      </c>
    </row>
    <row r="9" spans="1:46" s="7" customFormat="1" x14ac:dyDescent="0.35">
      <c r="A9" s="12"/>
      <c r="B9" s="12" t="s">
        <v>19</v>
      </c>
      <c r="C9" s="12" t="s">
        <v>20</v>
      </c>
      <c r="D9" s="12" t="s">
        <v>21</v>
      </c>
      <c r="E9" s="12" t="s">
        <v>22</v>
      </c>
      <c r="F9" s="12" t="s">
        <v>24</v>
      </c>
      <c r="G9" s="12" t="s">
        <v>25</v>
      </c>
      <c r="H9" s="12" t="s">
        <v>26</v>
      </c>
      <c r="I9" s="12" t="s">
        <v>27</v>
      </c>
      <c r="J9" s="12" t="s">
        <v>29</v>
      </c>
      <c r="K9" s="12" t="s">
        <v>30</v>
      </c>
      <c r="L9" s="12" t="s">
        <v>31</v>
      </c>
      <c r="M9" s="12" t="s">
        <v>32</v>
      </c>
      <c r="N9" s="12" t="s">
        <v>34</v>
      </c>
      <c r="O9" s="12" t="s">
        <v>35</v>
      </c>
      <c r="P9" s="12" t="s">
        <v>36</v>
      </c>
      <c r="Q9" s="12" t="s">
        <v>37</v>
      </c>
      <c r="R9" s="12" t="s">
        <v>38</v>
      </c>
      <c r="S9" s="12" t="s">
        <v>39</v>
      </c>
      <c r="T9" s="12" t="s">
        <v>40</v>
      </c>
      <c r="U9" s="12" t="s">
        <v>41</v>
      </c>
      <c r="V9" s="12" t="s">
        <v>42</v>
      </c>
      <c r="W9" s="12" t="s">
        <v>43</v>
      </c>
      <c r="X9" s="12" t="s">
        <v>44</v>
      </c>
      <c r="Y9" s="12" t="s">
        <v>45</v>
      </c>
      <c r="Z9" s="12" t="s">
        <v>46</v>
      </c>
      <c r="AA9" s="12" t="s">
        <v>47</v>
      </c>
      <c r="AB9" s="12" t="s">
        <v>48</v>
      </c>
      <c r="AC9" s="12" t="s">
        <v>49</v>
      </c>
      <c r="AD9" s="12" t="s">
        <v>50</v>
      </c>
      <c r="AE9" s="12" t="s">
        <v>51</v>
      </c>
      <c r="AF9" s="12" t="s">
        <v>52</v>
      </c>
      <c r="AG9" s="12" t="s">
        <v>53</v>
      </c>
      <c r="AH9" s="12" t="s">
        <v>54</v>
      </c>
      <c r="AI9" s="12" t="s">
        <v>55</v>
      </c>
      <c r="AJ9" s="12" t="s">
        <v>56</v>
      </c>
      <c r="AK9" s="12" t="s">
        <v>57</v>
      </c>
      <c r="AL9" s="12" t="s">
        <v>58</v>
      </c>
      <c r="AM9" s="12" t="s">
        <v>107</v>
      </c>
      <c r="AN9" s="12" t="s">
        <v>110</v>
      </c>
      <c r="AO9" s="12" t="s">
        <v>111</v>
      </c>
      <c r="AP9" s="12" t="s">
        <v>114</v>
      </c>
      <c r="AQ9" s="12" t="s">
        <v>116</v>
      </c>
      <c r="AR9" s="12" t="s">
        <v>117</v>
      </c>
      <c r="AS9" s="12" t="s">
        <v>118</v>
      </c>
      <c r="AT9" s="12" t="s">
        <v>119</v>
      </c>
    </row>
    <row r="10" spans="1:46" s="17" customFormat="1" x14ac:dyDescent="0.35">
      <c r="A10" s="16" t="s">
        <v>99</v>
      </c>
      <c r="B10" s="21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</row>
    <row r="11" spans="1:46" s="4" customFormat="1" x14ac:dyDescent="0.35">
      <c r="A11" s="4" t="s">
        <v>62</v>
      </c>
      <c r="B11" s="14">
        <v>86.9</v>
      </c>
      <c r="C11" s="14">
        <v>96.2</v>
      </c>
      <c r="D11" s="14">
        <v>104.5</v>
      </c>
      <c r="E11" s="14">
        <v>103</v>
      </c>
      <c r="F11" s="14">
        <v>88.9</v>
      </c>
      <c r="G11" s="14">
        <v>94.5</v>
      </c>
      <c r="H11" s="14">
        <v>93.8</v>
      </c>
      <c r="I11" s="14">
        <v>98.7</v>
      </c>
      <c r="J11" s="14">
        <v>108.5</v>
      </c>
      <c r="K11" s="14">
        <v>113.3</v>
      </c>
      <c r="L11" s="14">
        <v>116.9</v>
      </c>
      <c r="M11" s="14">
        <v>126.4</v>
      </c>
      <c r="N11" s="14">
        <v>135.4</v>
      </c>
      <c r="O11" s="14">
        <v>133.5</v>
      </c>
      <c r="P11" s="14">
        <v>146.80000000000001</v>
      </c>
      <c r="Q11" s="14">
        <v>143.80000000000001</v>
      </c>
      <c r="R11" s="14">
        <v>140.9</v>
      </c>
      <c r="S11" s="14">
        <v>144.4</v>
      </c>
      <c r="T11" s="14">
        <v>147.6</v>
      </c>
      <c r="U11" s="14">
        <v>148.1</v>
      </c>
      <c r="V11" s="14">
        <v>147.1</v>
      </c>
      <c r="W11" s="14">
        <v>145.30000000000001</v>
      </c>
      <c r="X11" s="14">
        <v>160.4</v>
      </c>
      <c r="Y11" s="14">
        <v>189.3</v>
      </c>
      <c r="Z11" s="14">
        <v>168.5</v>
      </c>
      <c r="AA11" s="14">
        <v>177.7</v>
      </c>
      <c r="AB11" s="14">
        <v>188.7</v>
      </c>
      <c r="AC11" s="14">
        <v>213.3</v>
      </c>
      <c r="AD11" s="14">
        <v>220.4</v>
      </c>
      <c r="AE11" s="14">
        <v>225.8</v>
      </c>
      <c r="AF11" s="14">
        <v>259.39999999999998</v>
      </c>
      <c r="AG11" s="14">
        <v>273</v>
      </c>
      <c r="AH11" s="14">
        <v>226.1</v>
      </c>
      <c r="AI11" s="14">
        <v>250.8</v>
      </c>
      <c r="AJ11" s="14">
        <v>256.3</v>
      </c>
      <c r="AK11" s="14">
        <v>283.3</v>
      </c>
      <c r="AL11" s="39">
        <v>265.8</v>
      </c>
      <c r="AM11" s="14">
        <v>275.82399999999996</v>
      </c>
      <c r="AN11" s="14">
        <v>260.15000000000003</v>
      </c>
      <c r="AO11" s="14">
        <v>276.55752517000002</v>
      </c>
      <c r="AP11" s="14">
        <v>233.51944919024439</v>
      </c>
      <c r="AQ11" s="14">
        <v>257.13100000000003</v>
      </c>
      <c r="AR11" s="14">
        <v>239.256</v>
      </c>
      <c r="AS11" s="14">
        <v>245.64599999999999</v>
      </c>
      <c r="AT11" s="14">
        <v>245.64599999999999</v>
      </c>
    </row>
    <row r="12" spans="1:46" s="5" customFormat="1" x14ac:dyDescent="0.35">
      <c r="A12" s="38" t="s">
        <v>63</v>
      </c>
      <c r="B12" s="13">
        <v>75</v>
      </c>
      <c r="C12" s="13">
        <v>86.4</v>
      </c>
      <c r="D12" s="13">
        <v>100.1</v>
      </c>
      <c r="E12" s="13">
        <v>95.5</v>
      </c>
      <c r="F12" s="13">
        <v>88.7</v>
      </c>
      <c r="G12" s="13">
        <v>85.7</v>
      </c>
      <c r="H12" s="13">
        <v>86</v>
      </c>
      <c r="I12" s="13">
        <v>87.9</v>
      </c>
      <c r="J12" s="13">
        <v>93.8</v>
      </c>
      <c r="K12" s="13">
        <v>104.7</v>
      </c>
      <c r="L12" s="13">
        <v>109.7</v>
      </c>
      <c r="M12" s="13">
        <v>113.3</v>
      </c>
      <c r="N12" s="13">
        <v>121.8</v>
      </c>
      <c r="O12" s="13">
        <v>118.7</v>
      </c>
      <c r="P12" s="13">
        <v>137.19999999999999</v>
      </c>
      <c r="Q12" s="13">
        <v>131.1</v>
      </c>
      <c r="R12" s="13">
        <v>121.6</v>
      </c>
      <c r="S12" s="13">
        <v>121.6</v>
      </c>
      <c r="T12" s="13">
        <v>126.4</v>
      </c>
      <c r="U12" s="13">
        <v>125.4</v>
      </c>
      <c r="V12" s="13">
        <v>123.5</v>
      </c>
      <c r="W12" s="13">
        <v>128.4</v>
      </c>
      <c r="X12" s="13">
        <v>130.80000000000001</v>
      </c>
      <c r="Y12" s="13">
        <v>172.9</v>
      </c>
      <c r="Z12" s="13">
        <v>147.4</v>
      </c>
      <c r="AA12" s="13">
        <v>153.1</v>
      </c>
      <c r="AB12" s="13">
        <v>161.9</v>
      </c>
      <c r="AC12" s="13">
        <v>177.3</v>
      </c>
      <c r="AD12" s="13">
        <v>186.9</v>
      </c>
      <c r="AE12" s="13">
        <v>186.4</v>
      </c>
      <c r="AF12" s="13">
        <v>204.6</v>
      </c>
      <c r="AG12" s="13">
        <v>204.8</v>
      </c>
      <c r="AH12" s="13">
        <v>205.5</v>
      </c>
      <c r="AI12" s="13">
        <v>199</v>
      </c>
      <c r="AJ12" s="13">
        <v>210.8</v>
      </c>
      <c r="AK12" s="13">
        <v>232</v>
      </c>
      <c r="AL12" s="40">
        <v>220.5</v>
      </c>
      <c r="AM12" s="13">
        <v>219.4</v>
      </c>
      <c r="AN12" s="13">
        <v>209.56593364803962</v>
      </c>
      <c r="AO12" s="13">
        <v>203.05174644101317</v>
      </c>
      <c r="AP12" s="13">
        <v>183</v>
      </c>
      <c r="AQ12" s="13">
        <v>189.851</v>
      </c>
      <c r="AR12" s="13">
        <v>188.66191800096297</v>
      </c>
      <c r="AS12" s="13">
        <v>205.46199999999999</v>
      </c>
      <c r="AT12" s="13">
        <v>192.703</v>
      </c>
    </row>
    <row r="13" spans="1:46" s="5" customFormat="1" x14ac:dyDescent="0.35">
      <c r="A13" s="38" t="s">
        <v>64</v>
      </c>
      <c r="B13" s="13">
        <v>11.9</v>
      </c>
      <c r="C13" s="13">
        <v>9.8000000000000007</v>
      </c>
      <c r="D13" s="13">
        <v>4.5</v>
      </c>
      <c r="E13" s="13">
        <v>2.8</v>
      </c>
      <c r="F13" s="13">
        <v>0.2</v>
      </c>
      <c r="G13" s="13">
        <v>8.9</v>
      </c>
      <c r="H13" s="13">
        <v>7.8</v>
      </c>
      <c r="I13" s="13">
        <v>10.8</v>
      </c>
      <c r="J13" s="13">
        <v>14.7</v>
      </c>
      <c r="K13" s="13">
        <v>8.6</v>
      </c>
      <c r="L13" s="13">
        <v>7.2</v>
      </c>
      <c r="M13" s="13">
        <v>13.1</v>
      </c>
      <c r="N13" s="13">
        <v>13.5</v>
      </c>
      <c r="O13" s="13">
        <v>14.9</v>
      </c>
      <c r="P13" s="13">
        <v>9.6</v>
      </c>
      <c r="Q13" s="13">
        <v>12.7</v>
      </c>
      <c r="R13" s="13">
        <v>19.3</v>
      </c>
      <c r="S13" s="13">
        <v>22.7</v>
      </c>
      <c r="T13" s="13">
        <v>21.1</v>
      </c>
      <c r="U13" s="13">
        <v>22.7</v>
      </c>
      <c r="V13" s="13">
        <v>23.6</v>
      </c>
      <c r="W13" s="13">
        <v>16.899999999999999</v>
      </c>
      <c r="X13" s="13">
        <v>29.6</v>
      </c>
      <c r="Y13" s="13">
        <v>16.5</v>
      </c>
      <c r="Z13" s="13">
        <v>21.1</v>
      </c>
      <c r="AA13" s="13">
        <v>24.6</v>
      </c>
      <c r="AB13" s="13">
        <v>26.8</v>
      </c>
      <c r="AC13" s="13">
        <v>36.1</v>
      </c>
      <c r="AD13" s="13">
        <v>33.4</v>
      </c>
      <c r="AE13" s="13">
        <v>39.4</v>
      </c>
      <c r="AF13" s="13">
        <v>54.8</v>
      </c>
      <c r="AG13" s="13">
        <v>68.2</v>
      </c>
      <c r="AH13" s="13">
        <v>20.5</v>
      </c>
      <c r="AI13" s="13">
        <v>51.7</v>
      </c>
      <c r="AJ13" s="13">
        <v>45.5</v>
      </c>
      <c r="AK13" s="13">
        <v>51.2</v>
      </c>
      <c r="AL13" s="40">
        <v>45.3</v>
      </c>
      <c r="AM13" s="13">
        <v>56.460349189936153</v>
      </c>
      <c r="AN13" s="13">
        <v>50.584066351960402</v>
      </c>
      <c r="AO13" s="13">
        <v>73.505778728986868</v>
      </c>
      <c r="AP13" s="13">
        <v>50.526447093358222</v>
      </c>
      <c r="AQ13" s="13">
        <v>67.28</v>
      </c>
      <c r="AR13" s="13">
        <v>50.586870364978942</v>
      </c>
      <c r="AS13" s="13">
        <v>40.183999999999997</v>
      </c>
      <c r="AT13" s="13">
        <v>48.024000000000001</v>
      </c>
    </row>
    <row r="14" spans="1:46" s="4" customFormat="1" x14ac:dyDescent="0.35">
      <c r="A14" s="4" t="s">
        <v>65</v>
      </c>
      <c r="B14" s="14">
        <v>-7.9</v>
      </c>
      <c r="C14" s="14">
        <v>-6.5</v>
      </c>
      <c r="D14" s="14">
        <v>-11.3</v>
      </c>
      <c r="E14" s="14">
        <v>-54.1</v>
      </c>
      <c r="F14" s="14">
        <v>-25.6</v>
      </c>
      <c r="G14" s="14">
        <v>-14.9</v>
      </c>
      <c r="H14" s="14">
        <v>-8.6</v>
      </c>
      <c r="I14" s="14">
        <v>-4.0999999999999996</v>
      </c>
      <c r="J14" s="14">
        <v>-13.8</v>
      </c>
      <c r="K14" s="14">
        <v>-9</v>
      </c>
      <c r="L14" s="14">
        <v>-8.9</v>
      </c>
      <c r="M14" s="14">
        <v>-12.7</v>
      </c>
      <c r="N14" s="14">
        <v>-12.3</v>
      </c>
      <c r="O14" s="14">
        <v>-5.7</v>
      </c>
      <c r="P14" s="14">
        <v>-21.9</v>
      </c>
      <c r="Q14" s="14">
        <v>-13.8</v>
      </c>
      <c r="R14" s="14">
        <v>-23.7</v>
      </c>
      <c r="S14" s="14">
        <v>-28.7</v>
      </c>
      <c r="T14" s="14">
        <v>-32.799999999999997</v>
      </c>
      <c r="U14" s="14">
        <v>-25.6</v>
      </c>
      <c r="V14" s="14">
        <v>-16.899999999999999</v>
      </c>
      <c r="W14" s="14">
        <v>-31.3</v>
      </c>
      <c r="X14" s="14">
        <v>-18.600000000000001</v>
      </c>
      <c r="Y14" s="14">
        <v>-26</v>
      </c>
      <c r="Z14" s="14">
        <v>-25.5</v>
      </c>
      <c r="AA14" s="14">
        <v>-14.9</v>
      </c>
      <c r="AB14" s="14">
        <v>-16.8</v>
      </c>
      <c r="AC14" s="14">
        <v>-43.6</v>
      </c>
      <c r="AD14" s="14">
        <v>-43.3</v>
      </c>
      <c r="AE14" s="14">
        <v>-36.4</v>
      </c>
      <c r="AF14" s="14">
        <v>-90.4</v>
      </c>
      <c r="AG14" s="14">
        <v>-48.6</v>
      </c>
      <c r="AH14" s="14">
        <v>-48.9</v>
      </c>
      <c r="AI14" s="14">
        <v>-54.1</v>
      </c>
      <c r="AJ14" s="14">
        <v>-50.2</v>
      </c>
      <c r="AK14" s="14">
        <v>-55.3</v>
      </c>
      <c r="AL14" s="14">
        <v>-57.948</v>
      </c>
      <c r="AM14" s="14">
        <v>-56.613999999999997</v>
      </c>
      <c r="AN14" s="14">
        <v>-54.866</v>
      </c>
      <c r="AO14" s="14">
        <v>-50.795213860000004</v>
      </c>
      <c r="AP14" s="14">
        <v>-22.463000000000001</v>
      </c>
      <c r="AQ14" s="14">
        <v>-33.128</v>
      </c>
      <c r="AR14" s="14">
        <v>-33.128999999999998</v>
      </c>
      <c r="AS14" s="14">
        <v>-29.491</v>
      </c>
      <c r="AT14" s="14">
        <v>-29.876999999999999</v>
      </c>
    </row>
    <row r="15" spans="1:46" s="4" customFormat="1" x14ac:dyDescent="0.35">
      <c r="A15" s="4" t="s">
        <v>66</v>
      </c>
      <c r="B15" s="14">
        <v>78.900000000000006</v>
      </c>
      <c r="C15" s="14">
        <v>89.7</v>
      </c>
      <c r="D15" s="14">
        <v>93.2</v>
      </c>
      <c r="E15" s="14">
        <v>49</v>
      </c>
      <c r="F15" s="14">
        <v>63.3</v>
      </c>
      <c r="G15" s="14">
        <v>79.7</v>
      </c>
      <c r="H15" s="14">
        <v>85.2</v>
      </c>
      <c r="I15" s="14">
        <v>94.6</v>
      </c>
      <c r="J15" s="14">
        <v>94.7</v>
      </c>
      <c r="K15" s="14">
        <v>104.3</v>
      </c>
      <c r="L15" s="14">
        <v>108</v>
      </c>
      <c r="M15" s="14">
        <v>113.7</v>
      </c>
      <c r="N15" s="14">
        <v>123</v>
      </c>
      <c r="O15" s="14">
        <v>127.8</v>
      </c>
      <c r="P15" s="14">
        <v>124.9</v>
      </c>
      <c r="Q15" s="14">
        <v>130</v>
      </c>
      <c r="R15" s="14">
        <v>117.2</v>
      </c>
      <c r="S15" s="14">
        <v>115.7</v>
      </c>
      <c r="T15" s="14">
        <v>114.7</v>
      </c>
      <c r="U15" s="14">
        <v>122.5</v>
      </c>
      <c r="V15" s="14">
        <v>130.30000000000001</v>
      </c>
      <c r="W15" s="14">
        <v>113.9</v>
      </c>
      <c r="X15" s="14">
        <v>141.80000000000001</v>
      </c>
      <c r="Y15" s="14">
        <v>163.30000000000001</v>
      </c>
      <c r="Z15" s="14">
        <v>143</v>
      </c>
      <c r="AA15" s="14">
        <v>162.80000000000001</v>
      </c>
      <c r="AB15" s="14">
        <v>171.9</v>
      </c>
      <c r="AC15" s="14">
        <v>169.7</v>
      </c>
      <c r="AD15" s="14">
        <v>177.1</v>
      </c>
      <c r="AE15" s="14">
        <v>189.4</v>
      </c>
      <c r="AF15" s="14">
        <v>168.9</v>
      </c>
      <c r="AG15" s="14">
        <v>224.4</v>
      </c>
      <c r="AH15" s="14">
        <v>177.2</v>
      </c>
      <c r="AI15" s="14">
        <v>196.7</v>
      </c>
      <c r="AJ15" s="14">
        <v>206.1</v>
      </c>
      <c r="AK15" s="14">
        <v>227.9</v>
      </c>
      <c r="AL15" s="14">
        <v>207.9</v>
      </c>
      <c r="AM15" s="14">
        <v>219.20999999999995</v>
      </c>
      <c r="AN15" s="14">
        <v>205.28400000000005</v>
      </c>
      <c r="AO15" s="14">
        <v>225.76231131000003</v>
      </c>
      <c r="AP15" s="14">
        <v>211.05644919024439</v>
      </c>
      <c r="AQ15" s="14">
        <v>224.00300000000004</v>
      </c>
      <c r="AR15" s="14">
        <v>206.12700000000001</v>
      </c>
      <c r="AS15" s="14">
        <v>216.15499999999997</v>
      </c>
      <c r="AT15" s="14">
        <v>210.84999999999997</v>
      </c>
    </row>
    <row r="16" spans="1:46" s="4" customFormat="1" x14ac:dyDescent="0.35">
      <c r="A16" s="4" t="s">
        <v>67</v>
      </c>
      <c r="B16" s="14">
        <v>9.1</v>
      </c>
      <c r="C16" s="14">
        <v>10.8</v>
      </c>
      <c r="D16" s="14">
        <v>12.1</v>
      </c>
      <c r="E16" s="14">
        <v>11.2</v>
      </c>
      <c r="F16" s="14">
        <v>10.3</v>
      </c>
      <c r="G16" s="14">
        <v>13.4</v>
      </c>
      <c r="H16" s="14">
        <v>16.100000000000001</v>
      </c>
      <c r="I16" s="14">
        <v>19.8</v>
      </c>
      <c r="J16" s="14">
        <v>24.4</v>
      </c>
      <c r="K16" s="14">
        <v>26.2</v>
      </c>
      <c r="L16" s="14">
        <v>22.8</v>
      </c>
      <c r="M16" s="14">
        <v>34.700000000000003</v>
      </c>
      <c r="N16" s="14">
        <v>29.6</v>
      </c>
      <c r="O16" s="14">
        <v>30.9</v>
      </c>
      <c r="P16" s="14">
        <v>30</v>
      </c>
      <c r="Q16" s="14">
        <v>34.799999999999997</v>
      </c>
      <c r="R16" s="14">
        <v>29.3</v>
      </c>
      <c r="S16" s="14">
        <v>32.1</v>
      </c>
      <c r="T16" s="14">
        <v>35.200000000000003</v>
      </c>
      <c r="U16" s="14">
        <v>40.799999999999997</v>
      </c>
      <c r="V16" s="14">
        <v>33</v>
      </c>
      <c r="W16" s="14">
        <v>44.5</v>
      </c>
      <c r="X16" s="14">
        <v>37.200000000000003</v>
      </c>
      <c r="Y16" s="14">
        <v>42.3</v>
      </c>
      <c r="Z16" s="14">
        <v>41</v>
      </c>
      <c r="AA16" s="14">
        <v>41.9</v>
      </c>
      <c r="AB16" s="14">
        <v>44.7</v>
      </c>
      <c r="AC16" s="14">
        <v>44.7</v>
      </c>
      <c r="AD16" s="14">
        <v>45.3</v>
      </c>
      <c r="AE16" s="14">
        <v>50.5</v>
      </c>
      <c r="AF16" s="14">
        <v>45.1</v>
      </c>
      <c r="AG16" s="14">
        <v>58.2</v>
      </c>
      <c r="AH16" s="14">
        <v>56.1</v>
      </c>
      <c r="AI16" s="14">
        <v>64.900000000000006</v>
      </c>
      <c r="AJ16" s="14">
        <v>66</v>
      </c>
      <c r="AK16" s="14">
        <v>69.5</v>
      </c>
      <c r="AL16" s="14">
        <v>76.3</v>
      </c>
      <c r="AM16" s="14">
        <v>75.695000000000007</v>
      </c>
      <c r="AN16" s="14">
        <v>71.180999999999997</v>
      </c>
      <c r="AO16" s="14">
        <v>83.697000000000003</v>
      </c>
      <c r="AP16" s="14">
        <v>77.62</v>
      </c>
      <c r="AQ16" s="14">
        <v>91.466999999999985</v>
      </c>
      <c r="AR16" s="14">
        <v>95.998000000000005</v>
      </c>
      <c r="AS16" s="14">
        <v>94.370999999999995</v>
      </c>
      <c r="AT16" s="14">
        <v>77.721000000000004</v>
      </c>
    </row>
    <row r="17" spans="1:46" s="4" customFormat="1" x14ac:dyDescent="0.35">
      <c r="A17" s="4" t="s">
        <v>68</v>
      </c>
      <c r="B17" s="14">
        <v>-23.8</v>
      </c>
      <c r="C17" s="14">
        <v>-26.8</v>
      </c>
      <c r="D17" s="14">
        <v>-29.7</v>
      </c>
      <c r="E17" s="14">
        <v>-34.6</v>
      </c>
      <c r="F17" s="14">
        <v>-32.9</v>
      </c>
      <c r="G17" s="14">
        <v>-30.5</v>
      </c>
      <c r="H17" s="14">
        <v>-33.200000000000003</v>
      </c>
      <c r="I17" s="14">
        <v>-35.799999999999997</v>
      </c>
      <c r="J17" s="14">
        <v>-34.799999999999997</v>
      </c>
      <c r="K17" s="14">
        <v>-35.1</v>
      </c>
      <c r="L17" s="14">
        <v>-36.799999999999997</v>
      </c>
      <c r="M17" s="14">
        <v>-50.7</v>
      </c>
      <c r="N17" s="14">
        <v>-51.5</v>
      </c>
      <c r="O17" s="14">
        <v>-44.3</v>
      </c>
      <c r="P17" s="14">
        <v>-44.8</v>
      </c>
      <c r="Q17" s="14">
        <v>-48.3</v>
      </c>
      <c r="R17" s="14">
        <v>-46.8</v>
      </c>
      <c r="S17" s="14">
        <v>-51.8</v>
      </c>
      <c r="T17" s="14">
        <v>-48.7</v>
      </c>
      <c r="U17" s="14">
        <v>-54.7</v>
      </c>
      <c r="V17" s="14">
        <v>-50.3</v>
      </c>
      <c r="W17" s="14">
        <v>-53.1</v>
      </c>
      <c r="X17" s="14">
        <v>-53.4</v>
      </c>
      <c r="Y17" s="14">
        <v>-62.5</v>
      </c>
      <c r="Z17" s="14">
        <v>-56.4</v>
      </c>
      <c r="AA17" s="14">
        <v>-57</v>
      </c>
      <c r="AB17" s="14">
        <v>-59.7</v>
      </c>
      <c r="AC17" s="14">
        <v>-65.599999999999994</v>
      </c>
      <c r="AD17" s="14">
        <v>-63.5</v>
      </c>
      <c r="AE17" s="14">
        <v>-65.099999999999994</v>
      </c>
      <c r="AF17" s="14">
        <v>-69.900000000000006</v>
      </c>
      <c r="AG17" s="14">
        <v>-70.099999999999994</v>
      </c>
      <c r="AH17" s="14">
        <v>-69.3</v>
      </c>
      <c r="AI17" s="14">
        <v>-69.599999999999994</v>
      </c>
      <c r="AJ17" s="14">
        <v>-71.3</v>
      </c>
      <c r="AK17" s="14">
        <v>-78.3</v>
      </c>
      <c r="AL17" s="14">
        <v>-74.3</v>
      </c>
      <c r="AM17" s="14">
        <v>-77.936999999999998</v>
      </c>
      <c r="AN17" s="14">
        <v>-74.510999999999996</v>
      </c>
      <c r="AO17" s="14">
        <v>-81.988</v>
      </c>
      <c r="AP17" s="14">
        <v>-73.820999999999998</v>
      </c>
      <c r="AQ17" s="14">
        <v>-76.926000000000002</v>
      </c>
      <c r="AR17" s="14">
        <v>-77.359099999999998</v>
      </c>
      <c r="AS17" s="14">
        <v>-80.137</v>
      </c>
      <c r="AT17" s="14">
        <v>-81.174999999999997</v>
      </c>
    </row>
    <row r="18" spans="1:46" s="5" customFormat="1" x14ac:dyDescent="0.35">
      <c r="A18" s="5" t="s">
        <v>69</v>
      </c>
      <c r="B18" s="13">
        <v>-23.9</v>
      </c>
      <c r="C18" s="13">
        <v>-26.9</v>
      </c>
      <c r="D18" s="13">
        <v>-29.9</v>
      </c>
      <c r="E18" s="13">
        <v>-47.2</v>
      </c>
      <c r="F18" s="13">
        <v>-33</v>
      </c>
      <c r="G18" s="13">
        <v>-30.7</v>
      </c>
      <c r="H18" s="13">
        <v>-33.6</v>
      </c>
      <c r="I18" s="13">
        <v>-35.9</v>
      </c>
      <c r="J18" s="13">
        <v>-35.299999999999997</v>
      </c>
      <c r="K18" s="13">
        <v>-35.9</v>
      </c>
      <c r="L18" s="13">
        <v>-36.799999999999997</v>
      </c>
      <c r="M18" s="13">
        <v>-50.7</v>
      </c>
      <c r="N18" s="13">
        <v>-51.5</v>
      </c>
      <c r="O18" s="13">
        <v>-44.3</v>
      </c>
      <c r="P18" s="13">
        <v>-44.8</v>
      </c>
      <c r="Q18" s="13">
        <v>-48.3</v>
      </c>
      <c r="R18" s="13">
        <v>-46.8</v>
      </c>
      <c r="S18" s="13">
        <v>-51.8</v>
      </c>
      <c r="T18" s="13">
        <v>-48.7</v>
      </c>
      <c r="U18" s="13">
        <v>-54.7</v>
      </c>
      <c r="V18" s="13">
        <v>-50.3</v>
      </c>
      <c r="W18" s="13">
        <v>-53.1</v>
      </c>
      <c r="X18" s="13">
        <v>-53.4</v>
      </c>
      <c r="Y18" s="13">
        <v>-62.5</v>
      </c>
      <c r="Z18" s="13">
        <v>-56.4</v>
      </c>
      <c r="AA18" s="13">
        <v>-57</v>
      </c>
      <c r="AB18" s="13">
        <v>-59.7</v>
      </c>
      <c r="AC18" s="13">
        <v>-65.599999999999994</v>
      </c>
      <c r="AD18" s="13">
        <v>-63.5</v>
      </c>
      <c r="AE18" s="13">
        <v>-65.099999999999994</v>
      </c>
      <c r="AF18" s="13">
        <v>-69.900000000000006</v>
      </c>
      <c r="AG18" s="13">
        <v>-70.099999999999994</v>
      </c>
      <c r="AH18" s="13">
        <v>-69.3</v>
      </c>
      <c r="AI18" s="13">
        <v>-69.599999999999994</v>
      </c>
      <c r="AJ18" s="13">
        <v>-71.3</v>
      </c>
      <c r="AK18" s="13">
        <v>-78.3</v>
      </c>
      <c r="AL18" s="13">
        <f>AL17</f>
        <v>-74.3</v>
      </c>
      <c r="AM18" s="13">
        <v>-77.936999999999998</v>
      </c>
      <c r="AN18" s="13">
        <v>-74.510999999999996</v>
      </c>
      <c r="AO18" s="13">
        <f>AO17</f>
        <v>-81.988</v>
      </c>
      <c r="AP18" s="13">
        <f>AP17</f>
        <v>-73.820999999999998</v>
      </c>
      <c r="AQ18" s="13">
        <v>-76.926000000000002</v>
      </c>
      <c r="AR18" s="13">
        <v>-77.359099999999998</v>
      </c>
      <c r="AS18" s="13">
        <v>-80.137</v>
      </c>
      <c r="AT18" s="13">
        <v>-81.174999999999997</v>
      </c>
    </row>
    <row r="19" spans="1:46" s="5" customFormat="1" x14ac:dyDescent="0.35">
      <c r="A19" s="5" t="s">
        <v>70</v>
      </c>
      <c r="B19" s="13" t="s">
        <v>16</v>
      </c>
      <c r="C19" s="13" t="s">
        <v>16</v>
      </c>
      <c r="D19" s="13" t="s">
        <v>16</v>
      </c>
      <c r="E19" s="13">
        <v>11.9</v>
      </c>
      <c r="F19" s="13" t="s">
        <v>16</v>
      </c>
      <c r="G19" s="13" t="s">
        <v>16</v>
      </c>
      <c r="H19" s="13" t="s">
        <v>16</v>
      </c>
      <c r="I19" s="13" t="s">
        <v>16</v>
      </c>
      <c r="J19" s="13" t="s">
        <v>16</v>
      </c>
      <c r="K19" s="13" t="s">
        <v>16</v>
      </c>
      <c r="L19" s="13" t="s">
        <v>16</v>
      </c>
      <c r="M19" s="13" t="s">
        <v>16</v>
      </c>
      <c r="N19" s="13" t="s">
        <v>16</v>
      </c>
      <c r="O19" s="13" t="s">
        <v>16</v>
      </c>
      <c r="P19" s="13" t="s">
        <v>16</v>
      </c>
      <c r="Q19" s="13" t="s">
        <v>16</v>
      </c>
      <c r="R19" s="13" t="s">
        <v>16</v>
      </c>
      <c r="S19" s="13" t="s">
        <v>16</v>
      </c>
      <c r="T19" s="13" t="s">
        <v>16</v>
      </c>
      <c r="U19" s="13" t="s">
        <v>16</v>
      </c>
      <c r="V19" s="13" t="s">
        <v>16</v>
      </c>
      <c r="W19" s="13" t="s">
        <v>16</v>
      </c>
      <c r="X19" s="13" t="s">
        <v>16</v>
      </c>
      <c r="Y19" s="13" t="s">
        <v>16</v>
      </c>
      <c r="Z19" s="13" t="s">
        <v>16</v>
      </c>
      <c r="AA19" s="13" t="s">
        <v>16</v>
      </c>
      <c r="AB19" s="13" t="s">
        <v>16</v>
      </c>
      <c r="AC19" s="13" t="s">
        <v>16</v>
      </c>
      <c r="AD19" s="13" t="s">
        <v>16</v>
      </c>
      <c r="AE19" s="13" t="s">
        <v>16</v>
      </c>
      <c r="AF19" s="13" t="s">
        <v>16</v>
      </c>
      <c r="AG19" s="13" t="s">
        <v>16</v>
      </c>
      <c r="AH19" s="13" t="s">
        <v>16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23" t="s">
        <v>16</v>
      </c>
      <c r="AT19" s="23" t="s">
        <v>16</v>
      </c>
    </row>
    <row r="20" spans="1:46" s="5" customFormat="1" x14ac:dyDescent="0.35">
      <c r="A20" s="5" t="s">
        <v>71</v>
      </c>
      <c r="B20" s="13">
        <v>0</v>
      </c>
      <c r="C20" s="13">
        <v>0.1</v>
      </c>
      <c r="D20" s="13">
        <v>0.2</v>
      </c>
      <c r="E20" s="13">
        <v>0.7</v>
      </c>
      <c r="F20" s="13">
        <v>0</v>
      </c>
      <c r="G20" s="13">
        <v>0.1</v>
      </c>
      <c r="H20" s="13">
        <v>0.4</v>
      </c>
      <c r="I20" s="13">
        <v>0.1</v>
      </c>
      <c r="J20" s="13">
        <v>0.5</v>
      </c>
      <c r="K20" s="13">
        <v>0.8</v>
      </c>
      <c r="L20" s="13" t="s">
        <v>16</v>
      </c>
      <c r="M20" s="13" t="s">
        <v>16</v>
      </c>
      <c r="N20" s="13" t="s">
        <v>16</v>
      </c>
      <c r="O20" s="13" t="s">
        <v>16</v>
      </c>
      <c r="P20" s="13" t="s">
        <v>16</v>
      </c>
      <c r="Q20" s="13" t="s">
        <v>16</v>
      </c>
      <c r="R20" s="13" t="s">
        <v>16</v>
      </c>
      <c r="S20" s="13" t="s">
        <v>16</v>
      </c>
      <c r="T20" s="13" t="s">
        <v>16</v>
      </c>
      <c r="U20" s="13" t="s">
        <v>16</v>
      </c>
      <c r="V20" s="13" t="s">
        <v>16</v>
      </c>
      <c r="W20" s="13" t="s">
        <v>16</v>
      </c>
      <c r="X20" s="13" t="s">
        <v>16</v>
      </c>
      <c r="Y20" s="13" t="s">
        <v>16</v>
      </c>
      <c r="Z20" s="13" t="s">
        <v>16</v>
      </c>
      <c r="AA20" s="13" t="s">
        <v>16</v>
      </c>
      <c r="AB20" s="13" t="s">
        <v>16</v>
      </c>
      <c r="AC20" s="13" t="s">
        <v>16</v>
      </c>
      <c r="AD20" s="13" t="s">
        <v>16</v>
      </c>
      <c r="AE20" s="13" t="s">
        <v>16</v>
      </c>
      <c r="AF20" s="13" t="s">
        <v>16</v>
      </c>
      <c r="AG20" s="13" t="s">
        <v>16</v>
      </c>
      <c r="AH20" s="13" t="s">
        <v>16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3" t="s">
        <v>16</v>
      </c>
      <c r="AT20" s="23" t="s">
        <v>16</v>
      </c>
    </row>
    <row r="21" spans="1:46" s="4" customFormat="1" x14ac:dyDescent="0.35">
      <c r="A21" s="4" t="s">
        <v>72</v>
      </c>
      <c r="B21" s="14">
        <v>-0.8</v>
      </c>
      <c r="C21" s="14">
        <v>-0.7</v>
      </c>
      <c r="D21" s="14">
        <v>-0.8</v>
      </c>
      <c r="E21" s="14">
        <v>-0.6</v>
      </c>
      <c r="F21" s="14">
        <v>-0.5</v>
      </c>
      <c r="G21" s="14">
        <v>-0.5</v>
      </c>
      <c r="H21" s="14">
        <v>-0.6</v>
      </c>
      <c r="I21" s="14">
        <v>-3.5</v>
      </c>
      <c r="J21" s="14">
        <v>-8.3000000000000007</v>
      </c>
      <c r="K21" s="14">
        <v>-8.3000000000000007</v>
      </c>
      <c r="L21" s="14">
        <v>-8.6999999999999993</v>
      </c>
      <c r="M21" s="14">
        <v>-8.9</v>
      </c>
      <c r="N21" s="14">
        <v>-10</v>
      </c>
      <c r="O21" s="14">
        <v>-10.5</v>
      </c>
      <c r="P21" s="14">
        <v>-8.9</v>
      </c>
      <c r="Q21" s="14">
        <v>-1.1000000000000001</v>
      </c>
      <c r="R21" s="14">
        <v>-10.1</v>
      </c>
      <c r="S21" s="14">
        <v>-8.3000000000000007</v>
      </c>
      <c r="T21" s="14">
        <v>-10</v>
      </c>
      <c r="U21" s="14">
        <v>-10.1</v>
      </c>
      <c r="V21" s="14">
        <v>-10.1</v>
      </c>
      <c r="W21" s="14">
        <v>-8.5</v>
      </c>
      <c r="X21" s="14">
        <v>-10.5</v>
      </c>
      <c r="Y21" s="14">
        <v>-12.3</v>
      </c>
      <c r="Z21" s="14">
        <v>-11.3</v>
      </c>
      <c r="AA21" s="14">
        <v>-11.1</v>
      </c>
      <c r="AB21" s="14">
        <v>-8.6</v>
      </c>
      <c r="AC21" s="14">
        <v>-9</v>
      </c>
      <c r="AD21" s="14">
        <v>-15.9</v>
      </c>
      <c r="AE21" s="14">
        <v>-11</v>
      </c>
      <c r="AF21" s="14">
        <v>-20.399999999999999</v>
      </c>
      <c r="AG21" s="14">
        <v>-10.199999999999999</v>
      </c>
      <c r="AH21" s="14">
        <v>2.1</v>
      </c>
      <c r="AI21" s="14">
        <v>-4.2</v>
      </c>
      <c r="AJ21" s="14">
        <v>-13</v>
      </c>
      <c r="AK21" s="14">
        <v>-22.2</v>
      </c>
      <c r="AL21" s="14">
        <v>-15.2</v>
      </c>
      <c r="AM21" s="14">
        <v>-17.45641929386403</v>
      </c>
      <c r="AN21" s="14">
        <v>-16.679869474990419</v>
      </c>
      <c r="AO21" s="14">
        <v>-20.17771881813389</v>
      </c>
      <c r="AP21" s="14">
        <v>-13.88992040886297</v>
      </c>
      <c r="AQ21" s="14">
        <v>-28.904000000000003</v>
      </c>
      <c r="AR21" s="14">
        <v>-20.13</v>
      </c>
      <c r="AS21" s="14">
        <v>-15.444999999999999</v>
      </c>
      <c r="AT21" s="14">
        <v>-11.472999999999999</v>
      </c>
    </row>
    <row r="22" spans="1:46" s="4" customFormat="1" x14ac:dyDescent="0.35">
      <c r="A22" s="4" t="s">
        <v>73</v>
      </c>
      <c r="B22" s="14">
        <v>-5</v>
      </c>
      <c r="C22" s="14">
        <v>-5.3</v>
      </c>
      <c r="D22" s="14">
        <v>-5.6</v>
      </c>
      <c r="E22" s="14">
        <v>-6.6</v>
      </c>
      <c r="F22" s="14">
        <v>-3.9</v>
      </c>
      <c r="G22" s="14">
        <v>-6.8</v>
      </c>
      <c r="H22" s="14">
        <v>-5.3</v>
      </c>
      <c r="I22" s="14">
        <v>-24</v>
      </c>
      <c r="J22" s="14">
        <v>-3.6</v>
      </c>
      <c r="K22" s="14">
        <v>-7.5</v>
      </c>
      <c r="L22" s="14">
        <v>-6.3</v>
      </c>
      <c r="M22" s="14">
        <v>-0.8</v>
      </c>
      <c r="N22" s="14">
        <v>-2.2000000000000002</v>
      </c>
      <c r="O22" s="14">
        <v>0.4</v>
      </c>
      <c r="P22" s="14">
        <v>-2</v>
      </c>
      <c r="Q22" s="14">
        <v>3.5</v>
      </c>
      <c r="R22" s="14">
        <v>2.5</v>
      </c>
      <c r="S22" s="14">
        <v>4</v>
      </c>
      <c r="T22" s="14">
        <v>0.1</v>
      </c>
      <c r="U22" s="14">
        <v>-0.6</v>
      </c>
      <c r="V22" s="14">
        <v>-1.7</v>
      </c>
      <c r="W22" s="14">
        <v>12.6</v>
      </c>
      <c r="X22" s="14">
        <v>-1.3</v>
      </c>
      <c r="Y22" s="14">
        <v>-10.3</v>
      </c>
      <c r="Z22" s="14">
        <v>4.4000000000000004</v>
      </c>
      <c r="AA22" s="14">
        <v>1.7</v>
      </c>
      <c r="AB22" s="14">
        <v>-10.1</v>
      </c>
      <c r="AC22" s="14">
        <v>-6.7</v>
      </c>
      <c r="AD22" s="14">
        <v>-4.4000000000000004</v>
      </c>
      <c r="AE22" s="14">
        <v>-6.2</v>
      </c>
      <c r="AF22" s="14">
        <v>-1.8</v>
      </c>
      <c r="AG22" s="14">
        <v>-16.5</v>
      </c>
      <c r="AH22" s="14">
        <v>7.3</v>
      </c>
      <c r="AI22" s="14">
        <v>-6.5</v>
      </c>
      <c r="AJ22" s="14">
        <v>-9.6999999999999993</v>
      </c>
      <c r="AK22" s="14">
        <v>-5.6</v>
      </c>
      <c r="AL22" s="14">
        <v>5.6</v>
      </c>
      <c r="AM22" s="14">
        <v>-1.8530000000000015</v>
      </c>
      <c r="AN22" s="14">
        <v>2.9239999999999995</v>
      </c>
      <c r="AO22" s="14">
        <v>-3.9489999999999998</v>
      </c>
      <c r="AP22" s="14">
        <v>-0.56699999999999995</v>
      </c>
      <c r="AQ22" s="14">
        <v>-0.77500000000000002</v>
      </c>
      <c r="AR22" s="14">
        <v>-0.51489999999999991</v>
      </c>
      <c r="AS22" s="14">
        <v>2.4239999999999999</v>
      </c>
      <c r="AT22" s="14">
        <v>4.713000000000001</v>
      </c>
    </row>
    <row r="23" spans="1:46" s="4" customFormat="1" x14ac:dyDescent="0.35">
      <c r="A23" s="4" t="s">
        <v>77</v>
      </c>
      <c r="B23" s="14" t="s">
        <v>16</v>
      </c>
      <c r="C23" s="14">
        <v>0</v>
      </c>
      <c r="D23" s="14">
        <v>1.2</v>
      </c>
      <c r="E23" s="14">
        <v>0</v>
      </c>
      <c r="F23" s="14">
        <v>-1.7</v>
      </c>
      <c r="G23" s="14">
        <v>-1</v>
      </c>
      <c r="H23" s="14">
        <v>-0.2</v>
      </c>
      <c r="I23" s="14">
        <v>-0.3</v>
      </c>
      <c r="J23" s="14">
        <v>-0.3</v>
      </c>
      <c r="K23" s="14">
        <v>-1.9</v>
      </c>
      <c r="L23" s="14">
        <v>0.3</v>
      </c>
      <c r="M23" s="14">
        <v>-0.5</v>
      </c>
      <c r="N23" s="14">
        <v>-0.4</v>
      </c>
      <c r="O23" s="14">
        <v>-4</v>
      </c>
      <c r="P23" s="14">
        <v>2.7</v>
      </c>
      <c r="Q23" s="14">
        <v>-4.2</v>
      </c>
      <c r="R23" s="14">
        <v>-0.9</v>
      </c>
      <c r="S23" s="14">
        <v>-3.8</v>
      </c>
      <c r="T23" s="14">
        <v>-1.4</v>
      </c>
      <c r="U23" s="14">
        <v>-0.4</v>
      </c>
      <c r="V23" s="14">
        <v>0.1</v>
      </c>
      <c r="W23" s="14">
        <v>-0.6</v>
      </c>
      <c r="X23" s="14">
        <v>-1.1000000000000001</v>
      </c>
      <c r="Y23" s="14">
        <v>-0.1</v>
      </c>
      <c r="Z23" s="14">
        <v>-0.3</v>
      </c>
      <c r="AA23" s="14">
        <v>-2</v>
      </c>
      <c r="AB23" s="14">
        <v>0.5</v>
      </c>
      <c r="AC23" s="14">
        <v>-0.5</v>
      </c>
      <c r="AD23" s="14">
        <v>-0.8</v>
      </c>
      <c r="AE23" s="14">
        <v>-2.8</v>
      </c>
      <c r="AF23" s="14">
        <v>-2.9</v>
      </c>
      <c r="AG23" s="14">
        <v>0.2</v>
      </c>
      <c r="AH23" s="14">
        <v>-7.9</v>
      </c>
      <c r="AI23" s="14">
        <v>-0.3</v>
      </c>
      <c r="AJ23" s="14">
        <v>-1.5</v>
      </c>
      <c r="AK23" s="14">
        <v>-2.5</v>
      </c>
      <c r="AL23" s="14">
        <v>-7.694</v>
      </c>
      <c r="AM23" s="14">
        <v>-10.493</v>
      </c>
      <c r="AN23" s="14">
        <v>-10.582000000000001</v>
      </c>
      <c r="AO23" s="14">
        <v>-8.1270000000000007</v>
      </c>
      <c r="AP23" s="14">
        <v>-9.9350000000000005</v>
      </c>
      <c r="AQ23" s="14">
        <v>-10.349</v>
      </c>
      <c r="AR23" s="14">
        <v>-5.7000000000000002E-2</v>
      </c>
      <c r="AS23" s="14">
        <v>-1.07</v>
      </c>
      <c r="AT23" s="14">
        <v>-0.71499999999999997</v>
      </c>
    </row>
    <row r="24" spans="1:46" s="4" customFormat="1" x14ac:dyDescent="0.35">
      <c r="A24" s="4" t="s">
        <v>78</v>
      </c>
      <c r="B24" s="14">
        <v>59.3</v>
      </c>
      <c r="C24" s="14">
        <v>68.400000000000006</v>
      </c>
      <c r="D24" s="14">
        <v>71.2</v>
      </c>
      <c r="E24" s="14">
        <v>19</v>
      </c>
      <c r="F24" s="14">
        <v>35</v>
      </c>
      <c r="G24" s="14">
        <v>54.7</v>
      </c>
      <c r="H24" s="14">
        <v>62.6</v>
      </c>
      <c r="I24" s="14">
        <v>54.4</v>
      </c>
      <c r="J24" s="14">
        <v>80.400000000000006</v>
      </c>
      <c r="K24" s="14">
        <v>86.1</v>
      </c>
      <c r="L24" s="14">
        <v>87.9</v>
      </c>
      <c r="M24" s="14">
        <v>96.3</v>
      </c>
      <c r="N24" s="14">
        <v>98.5</v>
      </c>
      <c r="O24" s="14">
        <v>104.3</v>
      </c>
      <c r="P24" s="14">
        <v>99.3</v>
      </c>
      <c r="Q24" s="14">
        <v>104.9</v>
      </c>
      <c r="R24" s="14">
        <v>91.2</v>
      </c>
      <c r="S24" s="14">
        <v>87.9</v>
      </c>
      <c r="T24" s="14">
        <v>89.9</v>
      </c>
      <c r="U24" s="14">
        <v>97.5</v>
      </c>
      <c r="V24" s="14">
        <v>101.3</v>
      </c>
      <c r="W24" s="14">
        <v>108.8</v>
      </c>
      <c r="X24" s="14">
        <v>112.5</v>
      </c>
      <c r="Y24" s="14">
        <v>120.5</v>
      </c>
      <c r="Z24" s="14">
        <v>120.4</v>
      </c>
      <c r="AA24" s="14">
        <v>136.19999999999999</v>
      </c>
      <c r="AB24" s="14">
        <v>138.6</v>
      </c>
      <c r="AC24" s="14">
        <v>137.5</v>
      </c>
      <c r="AD24" s="14">
        <v>137.80000000000001</v>
      </c>
      <c r="AE24" s="14">
        <v>154.69999999999999</v>
      </c>
      <c r="AF24" s="14">
        <v>119</v>
      </c>
      <c r="AG24" s="14">
        <v>186</v>
      </c>
      <c r="AH24" s="14">
        <v>165.4</v>
      </c>
      <c r="AI24" s="14">
        <v>181.1</v>
      </c>
      <c r="AJ24" s="14">
        <v>176.6</v>
      </c>
      <c r="AK24" s="14">
        <v>188.8</v>
      </c>
      <c r="AL24" s="14">
        <v>192.6</v>
      </c>
      <c r="AM24" s="14">
        <v>187.16558070613593</v>
      </c>
      <c r="AN24" s="14">
        <v>177.61613052500962</v>
      </c>
      <c r="AO24" s="14">
        <v>195.21759249186613</v>
      </c>
      <c r="AP24" s="14">
        <v>190.46352878138143</v>
      </c>
      <c r="AQ24" s="14">
        <v>198.51600000000005</v>
      </c>
      <c r="AR24" s="14">
        <v>204.06399999999999</v>
      </c>
      <c r="AS24" s="14">
        <v>216.29800000000003</v>
      </c>
      <c r="AT24" s="14">
        <v>199.92099999999994</v>
      </c>
    </row>
    <row r="25" spans="1:46" s="4" customFormat="1" x14ac:dyDescent="0.35">
      <c r="A25" s="4" t="s">
        <v>79</v>
      </c>
      <c r="B25" s="14">
        <v>-10</v>
      </c>
      <c r="C25" s="14">
        <v>-13.6</v>
      </c>
      <c r="D25" s="14">
        <v>-6</v>
      </c>
      <c r="E25" s="14">
        <v>16.2</v>
      </c>
      <c r="F25" s="14">
        <v>-2.4</v>
      </c>
      <c r="G25" s="14">
        <v>-17.899999999999999</v>
      </c>
      <c r="H25" s="14">
        <v>-15.7</v>
      </c>
      <c r="I25" s="14">
        <v>14.8</v>
      </c>
      <c r="J25" s="14">
        <v>-16</v>
      </c>
      <c r="K25" s="14">
        <v>-18.3</v>
      </c>
      <c r="L25" s="14">
        <v>-21.5</v>
      </c>
      <c r="M25" s="14">
        <v>-22.9</v>
      </c>
      <c r="N25" s="14">
        <v>-25.8</v>
      </c>
      <c r="O25" s="14">
        <v>-27.3</v>
      </c>
      <c r="P25" s="14">
        <v>-23.8</v>
      </c>
      <c r="Q25" s="14">
        <v>-26.3</v>
      </c>
      <c r="R25" s="14">
        <v>-24.3</v>
      </c>
      <c r="S25" s="14">
        <v>-19.7</v>
      </c>
      <c r="T25" s="14">
        <v>-20.7</v>
      </c>
      <c r="U25" s="14">
        <v>-22.6</v>
      </c>
      <c r="V25" s="14">
        <v>-23.8</v>
      </c>
      <c r="W25" s="14">
        <v>-24.6</v>
      </c>
      <c r="X25" s="14">
        <v>-26.9</v>
      </c>
      <c r="Y25" s="14">
        <v>-22.3</v>
      </c>
      <c r="Z25" s="14">
        <v>-30.1</v>
      </c>
      <c r="AA25" s="14">
        <v>-32.700000000000003</v>
      </c>
      <c r="AB25" s="14">
        <v>-37.5</v>
      </c>
      <c r="AC25" s="14">
        <v>-30.8</v>
      </c>
      <c r="AD25" s="14">
        <v>-34.6</v>
      </c>
      <c r="AE25" s="14">
        <v>-39</v>
      </c>
      <c r="AF25" s="14">
        <v>-0.4</v>
      </c>
      <c r="AG25" s="14">
        <v>-51.5</v>
      </c>
      <c r="AH25" s="14">
        <v>-44.4</v>
      </c>
      <c r="AI25" s="14">
        <v>-50.3</v>
      </c>
      <c r="AJ25" s="14">
        <v>-48.8</v>
      </c>
      <c r="AK25" s="14">
        <v>-50</v>
      </c>
      <c r="AL25" s="14">
        <v>-51.4</v>
      </c>
      <c r="AM25" s="14">
        <v>-50.552580706135956</v>
      </c>
      <c r="AN25" s="14">
        <v>-41.012130525009603</v>
      </c>
      <c r="AO25" s="14">
        <v>-51.768000000000001</v>
      </c>
      <c r="AP25" s="14">
        <v>-41.823528781381427</v>
      </c>
      <c r="AQ25" s="14">
        <v>-47.64200000000001</v>
      </c>
      <c r="AR25" s="14">
        <v>-48.719000000000001</v>
      </c>
      <c r="AS25" s="14">
        <v>-54.792999999999985</v>
      </c>
      <c r="AT25" s="14">
        <v>-39.554000000000002</v>
      </c>
    </row>
    <row r="26" spans="1:46" s="4" customFormat="1" x14ac:dyDescent="0.35">
      <c r="A26" s="4" t="s">
        <v>83</v>
      </c>
      <c r="B26" s="14">
        <v>-14.5</v>
      </c>
      <c r="C26" s="14">
        <v>-11.9</v>
      </c>
      <c r="D26" s="14">
        <v>-14</v>
      </c>
      <c r="E26" s="14">
        <v>-4.8</v>
      </c>
      <c r="F26" s="14">
        <v>-7.5</v>
      </c>
      <c r="G26" s="14">
        <v>-9.1999999999999993</v>
      </c>
      <c r="H26" s="14">
        <v>-11.8</v>
      </c>
      <c r="I26" s="14">
        <v>-13.5</v>
      </c>
      <c r="J26" s="14">
        <v>-15.4</v>
      </c>
      <c r="K26" s="14">
        <v>-15.4</v>
      </c>
      <c r="L26" s="14">
        <v>-15</v>
      </c>
      <c r="M26" s="14">
        <v>-19.2</v>
      </c>
      <c r="N26" s="14">
        <v>-17.600000000000001</v>
      </c>
      <c r="O26" s="14">
        <v>-16.8</v>
      </c>
      <c r="P26" s="14">
        <v>-17</v>
      </c>
      <c r="Q26" s="14">
        <v>-18</v>
      </c>
      <c r="R26" s="14">
        <v>-10</v>
      </c>
      <c r="S26" s="14">
        <v>-13.1</v>
      </c>
      <c r="T26" s="14">
        <v>-14</v>
      </c>
      <c r="U26" s="14">
        <v>-15.3</v>
      </c>
      <c r="V26" s="14">
        <v>-18.600000000000001</v>
      </c>
      <c r="W26" s="14">
        <v>-20.6</v>
      </c>
      <c r="X26" s="14">
        <v>-19.5</v>
      </c>
      <c r="Y26" s="14">
        <v>-23.3</v>
      </c>
      <c r="Z26" s="14">
        <v>-19.600000000000001</v>
      </c>
      <c r="AA26" s="14">
        <v>-23.8</v>
      </c>
      <c r="AB26" s="14">
        <v>-23.1</v>
      </c>
      <c r="AC26" s="14">
        <v>-24.5</v>
      </c>
      <c r="AD26" s="14">
        <v>-23</v>
      </c>
      <c r="AE26" s="14">
        <v>-25.6</v>
      </c>
      <c r="AF26" s="14">
        <v>-23.6</v>
      </c>
      <c r="AG26" s="14">
        <v>-29</v>
      </c>
      <c r="AH26" s="14">
        <v>-25.5</v>
      </c>
      <c r="AI26" s="14">
        <v>-26.7</v>
      </c>
      <c r="AJ26" s="14">
        <v>-25</v>
      </c>
      <c r="AK26" s="14">
        <v>-30.3</v>
      </c>
      <c r="AL26" s="14">
        <v>-30.1</v>
      </c>
      <c r="AM26" s="14">
        <v>-29.474</v>
      </c>
      <c r="AN26" s="14">
        <v>-32.47</v>
      </c>
      <c r="AO26" s="14">
        <v>-32.844999999999999</v>
      </c>
      <c r="AP26" s="14">
        <v>-40.092000000000006</v>
      </c>
      <c r="AQ26" s="14">
        <v>-39.220999999999997</v>
      </c>
      <c r="AR26" s="14">
        <v>-39.232999999999997</v>
      </c>
      <c r="AS26" s="14">
        <v>-40.061</v>
      </c>
      <c r="AT26" s="14">
        <v>-39.192</v>
      </c>
    </row>
    <row r="27" spans="1:46" s="5" customFormat="1" x14ac:dyDescent="0.35">
      <c r="A27" s="27" t="s">
        <v>112</v>
      </c>
      <c r="B27" s="28">
        <v>34.700000000000003</v>
      </c>
      <c r="C27" s="28">
        <v>42.8</v>
      </c>
      <c r="D27" s="28">
        <v>44.4</v>
      </c>
      <c r="E27" s="28">
        <v>15.9</v>
      </c>
      <c r="F27" s="28">
        <v>24</v>
      </c>
      <c r="G27" s="28">
        <v>35.4</v>
      </c>
      <c r="H27" s="28">
        <v>38.1</v>
      </c>
      <c r="I27" s="28">
        <v>53.7</v>
      </c>
      <c r="J27" s="28">
        <v>46.9</v>
      </c>
      <c r="K27" s="28">
        <v>50.2</v>
      </c>
      <c r="L27" s="28">
        <v>51.1</v>
      </c>
      <c r="M27" s="28">
        <v>54</v>
      </c>
      <c r="N27" s="28">
        <v>56.7</v>
      </c>
      <c r="O27" s="28">
        <v>60.2</v>
      </c>
      <c r="P27" s="28">
        <v>58.5</v>
      </c>
      <c r="Q27" s="28">
        <v>60.6</v>
      </c>
      <c r="R27" s="28">
        <v>56.9</v>
      </c>
      <c r="S27" s="28">
        <v>55</v>
      </c>
      <c r="T27" s="28">
        <v>55.1</v>
      </c>
      <c r="U27" s="28">
        <v>59.6</v>
      </c>
      <c r="V27" s="28">
        <v>58.9</v>
      </c>
      <c r="W27" s="28">
        <v>63.5</v>
      </c>
      <c r="X27" s="28">
        <v>66.099999999999994</v>
      </c>
      <c r="Y27" s="28">
        <v>74.900000000000006</v>
      </c>
      <c r="Z27" s="28">
        <v>70.7</v>
      </c>
      <c r="AA27" s="28">
        <v>79.8</v>
      </c>
      <c r="AB27" s="28">
        <v>77.900000000000006</v>
      </c>
      <c r="AC27" s="28">
        <v>82.2</v>
      </c>
      <c r="AD27" s="28">
        <v>80.3</v>
      </c>
      <c r="AE27" s="28">
        <v>90.1</v>
      </c>
      <c r="AF27" s="28">
        <v>95</v>
      </c>
      <c r="AG27" s="28">
        <v>105.5</v>
      </c>
      <c r="AH27" s="28">
        <v>95.5</v>
      </c>
      <c r="AI27" s="28">
        <v>104.1</v>
      </c>
      <c r="AJ27" s="28">
        <v>102.8</v>
      </c>
      <c r="AK27" s="28">
        <v>108.5</v>
      </c>
      <c r="AL27" s="28">
        <v>111.166</v>
      </c>
      <c r="AM27" s="28">
        <v>107.13899999999997</v>
      </c>
      <c r="AN27" s="28">
        <v>104.13400000000004</v>
      </c>
      <c r="AO27" s="28">
        <v>110.60500000000002</v>
      </c>
      <c r="AP27" s="28">
        <v>108.54799999999997</v>
      </c>
      <c r="AQ27" s="28">
        <v>111.65300000000002</v>
      </c>
      <c r="AR27" s="28">
        <v>116.11199999999999</v>
      </c>
      <c r="AS27" s="28">
        <v>121.44400000000005</v>
      </c>
      <c r="AT27" s="28">
        <v>121.17499999999993</v>
      </c>
    </row>
    <row r="28" spans="1:46" s="5" customFormat="1" x14ac:dyDescent="0.35">
      <c r="A28" s="5" t="s">
        <v>84</v>
      </c>
      <c r="B28" s="13">
        <v>-9.1999999999999993</v>
      </c>
      <c r="C28" s="13">
        <v>-9.1999999999999993</v>
      </c>
      <c r="D28" s="13" t="s">
        <v>16</v>
      </c>
      <c r="E28" s="13" t="s">
        <v>16</v>
      </c>
      <c r="F28" s="13" t="s">
        <v>16</v>
      </c>
      <c r="G28" s="13" t="s">
        <v>16</v>
      </c>
      <c r="H28" s="13" t="s">
        <v>16</v>
      </c>
      <c r="I28" s="13" t="s">
        <v>16</v>
      </c>
      <c r="J28" s="13" t="s">
        <v>16</v>
      </c>
      <c r="K28" s="13" t="s">
        <v>16</v>
      </c>
      <c r="L28" s="13" t="s">
        <v>16</v>
      </c>
      <c r="M28" s="13" t="s">
        <v>16</v>
      </c>
      <c r="N28" s="13" t="s">
        <v>16</v>
      </c>
      <c r="O28" s="13" t="s">
        <v>16</v>
      </c>
      <c r="P28" s="13" t="s">
        <v>16</v>
      </c>
      <c r="Q28" s="13" t="s">
        <v>16</v>
      </c>
      <c r="R28" s="13" t="s">
        <v>16</v>
      </c>
      <c r="S28" s="13" t="s">
        <v>16</v>
      </c>
      <c r="T28" s="13" t="s">
        <v>16</v>
      </c>
      <c r="U28" s="13" t="s">
        <v>16</v>
      </c>
      <c r="V28" s="13" t="s">
        <v>16</v>
      </c>
      <c r="W28" s="13" t="s">
        <v>16</v>
      </c>
      <c r="X28" s="13" t="s">
        <v>16</v>
      </c>
      <c r="Y28" s="13" t="s">
        <v>16</v>
      </c>
      <c r="Z28" s="13" t="s">
        <v>16</v>
      </c>
      <c r="AA28" s="13" t="s">
        <v>16</v>
      </c>
      <c r="AB28" s="13" t="s">
        <v>16</v>
      </c>
      <c r="AC28" s="13" t="s">
        <v>16</v>
      </c>
      <c r="AD28" s="13" t="s">
        <v>16</v>
      </c>
      <c r="AE28" s="13" t="s">
        <v>16</v>
      </c>
      <c r="AF28" s="13" t="s">
        <v>16</v>
      </c>
      <c r="AG28" s="13" t="s">
        <v>16</v>
      </c>
      <c r="AH28" s="13" t="s">
        <v>16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/>
      <c r="AS28" s="13">
        <v>0</v>
      </c>
      <c r="AT28" s="13">
        <v>0</v>
      </c>
    </row>
    <row r="29" spans="1:46" s="5" customFormat="1" x14ac:dyDescent="0.35">
      <c r="A29" s="5" t="s">
        <v>85</v>
      </c>
      <c r="B29" s="13">
        <v>-5.0999999999999996</v>
      </c>
      <c r="C29" s="13">
        <v>-5.0999999999999996</v>
      </c>
      <c r="D29" s="13" t="s">
        <v>16</v>
      </c>
      <c r="E29" s="13" t="s">
        <v>16</v>
      </c>
      <c r="F29" s="13" t="s">
        <v>16</v>
      </c>
      <c r="G29" s="13" t="s">
        <v>16</v>
      </c>
      <c r="H29" s="13" t="s">
        <v>16</v>
      </c>
      <c r="I29" s="13" t="s">
        <v>16</v>
      </c>
      <c r="J29" s="13" t="s">
        <v>16</v>
      </c>
      <c r="K29" s="13" t="s">
        <v>16</v>
      </c>
      <c r="L29" s="13" t="s">
        <v>16</v>
      </c>
      <c r="M29" s="13" t="s">
        <v>16</v>
      </c>
      <c r="N29" s="13" t="s">
        <v>16</v>
      </c>
      <c r="O29" s="13" t="s">
        <v>16</v>
      </c>
      <c r="P29" s="13" t="s">
        <v>16</v>
      </c>
      <c r="Q29" s="13" t="s">
        <v>16</v>
      </c>
      <c r="R29" s="13" t="s">
        <v>16</v>
      </c>
      <c r="S29" s="13" t="s">
        <v>16</v>
      </c>
      <c r="T29" s="13" t="s">
        <v>16</v>
      </c>
      <c r="U29" s="13" t="s">
        <v>16</v>
      </c>
      <c r="V29" s="13" t="s">
        <v>16</v>
      </c>
      <c r="W29" s="13" t="s">
        <v>16</v>
      </c>
      <c r="X29" s="13" t="s">
        <v>16</v>
      </c>
      <c r="Y29" s="13" t="s">
        <v>16</v>
      </c>
      <c r="Z29" s="13" t="s">
        <v>16</v>
      </c>
      <c r="AA29" s="13" t="s">
        <v>16</v>
      </c>
      <c r="AB29" s="13" t="s">
        <v>16</v>
      </c>
      <c r="AC29" s="13" t="s">
        <v>16</v>
      </c>
      <c r="AD29" s="13" t="s">
        <v>16</v>
      </c>
      <c r="AE29" s="13" t="s">
        <v>16</v>
      </c>
      <c r="AF29" s="13" t="s">
        <v>16</v>
      </c>
      <c r="AG29" s="13" t="s">
        <v>16</v>
      </c>
      <c r="AH29" s="13" t="s">
        <v>16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/>
      <c r="AS29" s="13">
        <v>0</v>
      </c>
      <c r="AT29" s="13">
        <v>0</v>
      </c>
    </row>
    <row r="30" spans="1:46" s="5" customFormat="1" x14ac:dyDescent="0.35">
      <c r="A30" s="5" t="s">
        <v>86</v>
      </c>
      <c r="B30" s="13">
        <v>-4.0999999999999996</v>
      </c>
      <c r="C30" s="13">
        <v>-4.0999999999999996</v>
      </c>
      <c r="D30" s="13" t="s">
        <v>16</v>
      </c>
      <c r="E30" s="13" t="s">
        <v>16</v>
      </c>
      <c r="F30" s="13" t="s">
        <v>16</v>
      </c>
      <c r="G30" s="13" t="s">
        <v>16</v>
      </c>
      <c r="H30" s="13" t="s">
        <v>16</v>
      </c>
      <c r="I30" s="13" t="s">
        <v>16</v>
      </c>
      <c r="J30" s="13" t="s">
        <v>16</v>
      </c>
      <c r="K30" s="13" t="s">
        <v>16</v>
      </c>
      <c r="L30" s="13" t="s">
        <v>16</v>
      </c>
      <c r="M30" s="13" t="s">
        <v>16</v>
      </c>
      <c r="N30" s="13" t="s">
        <v>16</v>
      </c>
      <c r="O30" s="13" t="s">
        <v>16</v>
      </c>
      <c r="P30" s="13" t="s">
        <v>16</v>
      </c>
      <c r="Q30" s="13" t="s">
        <v>16</v>
      </c>
      <c r="R30" s="13" t="s">
        <v>16</v>
      </c>
      <c r="S30" s="13" t="s">
        <v>16</v>
      </c>
      <c r="T30" s="13" t="s">
        <v>16</v>
      </c>
      <c r="U30" s="13" t="s">
        <v>16</v>
      </c>
      <c r="V30" s="13" t="s">
        <v>16</v>
      </c>
      <c r="W30" s="13" t="s">
        <v>16</v>
      </c>
      <c r="X30" s="13" t="s">
        <v>16</v>
      </c>
      <c r="Y30" s="13" t="s">
        <v>16</v>
      </c>
      <c r="Z30" s="13" t="s">
        <v>16</v>
      </c>
      <c r="AA30" s="13" t="s">
        <v>16</v>
      </c>
      <c r="AB30" s="13" t="s">
        <v>16</v>
      </c>
      <c r="AC30" s="13" t="s">
        <v>16</v>
      </c>
      <c r="AD30" s="13" t="s">
        <v>16</v>
      </c>
      <c r="AE30" s="13" t="s">
        <v>16</v>
      </c>
      <c r="AF30" s="13" t="s">
        <v>16</v>
      </c>
      <c r="AG30" s="13" t="s">
        <v>16</v>
      </c>
      <c r="AH30" s="13" t="s">
        <v>16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/>
      <c r="AS30" s="13">
        <v>0</v>
      </c>
      <c r="AT30" s="13">
        <v>0</v>
      </c>
    </row>
    <row r="31" spans="1:46" s="5" customFormat="1" x14ac:dyDescent="0.35">
      <c r="A31" s="5" t="s">
        <v>87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23">
        <v>0</v>
      </c>
      <c r="AG31" s="23">
        <v>0</v>
      </c>
      <c r="AH31" s="23" t="s">
        <v>106</v>
      </c>
      <c r="AI31" s="23">
        <v>0</v>
      </c>
      <c r="AJ31" s="23">
        <v>0</v>
      </c>
      <c r="AK31" s="23">
        <v>0</v>
      </c>
      <c r="AL31" s="23">
        <v>-14.3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/>
      <c r="AS31" s="23">
        <v>-39.670999999999999</v>
      </c>
      <c r="AT31" s="23">
        <v>-1.6209999999999987</v>
      </c>
    </row>
    <row r="32" spans="1:46" s="5" customFormat="1" ht="15" thickBot="1" x14ac:dyDescent="0.4">
      <c r="A32" s="33" t="s">
        <v>113</v>
      </c>
      <c r="B32" s="34">
        <v>34.700000000000003</v>
      </c>
      <c r="C32" s="34">
        <v>42.8</v>
      </c>
      <c r="D32" s="34">
        <v>44.4</v>
      </c>
      <c r="E32" s="34">
        <v>15.9</v>
      </c>
      <c r="F32" s="34">
        <v>24</v>
      </c>
      <c r="G32" s="34">
        <v>35.4</v>
      </c>
      <c r="H32" s="34">
        <v>38.1</v>
      </c>
      <c r="I32" s="34">
        <v>44.5</v>
      </c>
      <c r="J32" s="34">
        <v>46.9</v>
      </c>
      <c r="K32" s="34">
        <v>50.2</v>
      </c>
      <c r="L32" s="34">
        <v>51.1</v>
      </c>
      <c r="M32" s="34">
        <v>54</v>
      </c>
      <c r="N32" s="34">
        <v>56.7</v>
      </c>
      <c r="O32" s="34">
        <v>60.2</v>
      </c>
      <c r="P32" s="34">
        <v>58.5</v>
      </c>
      <c r="Q32" s="34">
        <v>60.6</v>
      </c>
      <c r="R32" s="34">
        <v>56.9</v>
      </c>
      <c r="S32" s="34">
        <v>55</v>
      </c>
      <c r="T32" s="34">
        <v>55</v>
      </c>
      <c r="U32" s="34">
        <v>59.6</v>
      </c>
      <c r="V32" s="34">
        <v>58.9</v>
      </c>
      <c r="W32" s="34">
        <v>63.5</v>
      </c>
      <c r="X32" s="34">
        <v>66.099999999999994</v>
      </c>
      <c r="Y32" s="34">
        <v>74.900000000000006</v>
      </c>
      <c r="Z32" s="34">
        <v>70.7</v>
      </c>
      <c r="AA32" s="34">
        <v>79.8</v>
      </c>
      <c r="AB32" s="34">
        <v>84.1</v>
      </c>
      <c r="AC32" s="34">
        <v>82.2</v>
      </c>
      <c r="AD32" s="34">
        <v>80.3</v>
      </c>
      <c r="AE32" s="34">
        <v>90.1</v>
      </c>
      <c r="AF32" s="34">
        <v>95.9</v>
      </c>
      <c r="AG32" s="34">
        <v>105.5</v>
      </c>
      <c r="AH32" s="34">
        <v>91149</v>
      </c>
      <c r="AI32" s="34">
        <v>104.1</v>
      </c>
      <c r="AJ32" s="34">
        <v>102.8</v>
      </c>
      <c r="AK32" s="34">
        <v>108.5</v>
      </c>
      <c r="AL32" s="34">
        <v>96.866</v>
      </c>
      <c r="AM32" s="34">
        <v>107.13899999999997</v>
      </c>
      <c r="AN32" s="34">
        <v>104.13400000000004</v>
      </c>
      <c r="AO32" s="34">
        <v>110.60500000000002</v>
      </c>
      <c r="AP32" s="34">
        <v>108.54799999999997</v>
      </c>
      <c r="AQ32" s="34">
        <v>111.65300000000002</v>
      </c>
      <c r="AR32" s="34">
        <v>116.11199999999999</v>
      </c>
      <c r="AS32" s="34">
        <v>81.773000000000053</v>
      </c>
      <c r="AT32" s="34">
        <v>119.55399999999993</v>
      </c>
    </row>
    <row r="33" spans="1:46" s="5" customFormat="1" ht="15" thickTop="1" x14ac:dyDescent="0.35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</row>
    <row r="34" spans="1:46" s="5" customFormat="1" x14ac:dyDescent="0.35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</row>
    <row r="35" spans="1:46" s="5" customFormat="1" x14ac:dyDescent="0.35">
      <c r="A35" s="3" t="s">
        <v>102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</row>
    <row r="36" spans="1:46" s="5" customFormat="1" x14ac:dyDescent="0.35">
      <c r="A36" s="5" t="s">
        <v>88</v>
      </c>
      <c r="B36" s="26">
        <v>4.4000000000000004</v>
      </c>
      <c r="C36" s="13">
        <v>5.3</v>
      </c>
      <c r="D36" s="13">
        <v>5.7</v>
      </c>
      <c r="E36" s="13">
        <v>6.6</v>
      </c>
      <c r="F36" s="13">
        <v>7.4</v>
      </c>
      <c r="G36" s="13">
        <v>9.9</v>
      </c>
      <c r="H36" s="13">
        <v>12.4</v>
      </c>
      <c r="I36" s="13">
        <v>14.1</v>
      </c>
      <c r="J36" s="13">
        <v>14.9</v>
      </c>
      <c r="K36" s="13">
        <v>16.5</v>
      </c>
      <c r="L36" s="13">
        <v>17.399999999999999</v>
      </c>
      <c r="M36" s="13">
        <v>19.600000000000001</v>
      </c>
      <c r="N36" s="13">
        <v>20.8</v>
      </c>
      <c r="O36" s="13">
        <v>22.6</v>
      </c>
      <c r="P36" s="13">
        <v>23.5</v>
      </c>
      <c r="Q36" s="13">
        <v>24.2</v>
      </c>
      <c r="R36" s="13">
        <v>24.2</v>
      </c>
      <c r="S36" s="13">
        <v>26</v>
      </c>
      <c r="T36" s="13">
        <v>27.4</v>
      </c>
      <c r="U36" s="13">
        <v>26.6</v>
      </c>
      <c r="V36" s="13">
        <v>27.2</v>
      </c>
      <c r="W36" s="13">
        <v>30.2</v>
      </c>
      <c r="X36" s="13">
        <v>31.2</v>
      </c>
      <c r="Y36" s="13">
        <v>29.9</v>
      </c>
      <c r="Z36" s="13">
        <v>29.9</v>
      </c>
      <c r="AA36" s="13">
        <v>32.799999999999997</v>
      </c>
      <c r="AB36" s="13">
        <v>33.9</v>
      </c>
      <c r="AC36" s="13">
        <v>34.299999999999997</v>
      </c>
      <c r="AD36" s="13">
        <v>35.200000000000003</v>
      </c>
      <c r="AE36" s="13">
        <v>37.200000000000003</v>
      </c>
      <c r="AF36" s="23">
        <v>36.6</v>
      </c>
      <c r="AG36" s="23">
        <v>58.2</v>
      </c>
      <c r="AH36" s="23">
        <v>45.3</v>
      </c>
      <c r="AI36" s="23">
        <v>48.5</v>
      </c>
      <c r="AJ36" s="23">
        <v>52.2</v>
      </c>
      <c r="AK36" s="23">
        <v>53</v>
      </c>
      <c r="AL36" s="23">
        <v>54</v>
      </c>
      <c r="AM36" s="23">
        <v>54.085000000000001</v>
      </c>
      <c r="AN36" s="23">
        <v>51.790999999999997</v>
      </c>
      <c r="AO36" s="23">
        <v>52.515000000000001</v>
      </c>
      <c r="AP36" s="23">
        <v>54.776000000000003</v>
      </c>
      <c r="AQ36" s="23">
        <v>56.430999999999997</v>
      </c>
      <c r="AR36" s="23">
        <v>57.091000000000001</v>
      </c>
      <c r="AS36" s="23">
        <v>55.018999999999998</v>
      </c>
      <c r="AT36" s="23">
        <v>50.298999999999999</v>
      </c>
    </row>
    <row r="37" spans="1:46" s="5" customFormat="1" x14ac:dyDescent="0.35">
      <c r="A37" s="5" t="s">
        <v>89</v>
      </c>
      <c r="B37" s="13" t="s">
        <v>16</v>
      </c>
      <c r="C37" s="13">
        <v>1.3</v>
      </c>
      <c r="D37" s="13">
        <v>2.2999999999999998</v>
      </c>
      <c r="E37" s="13">
        <v>0.8</v>
      </c>
      <c r="F37" s="13">
        <v>0.3</v>
      </c>
      <c r="G37" s="13">
        <v>0.5</v>
      </c>
      <c r="H37" s="13">
        <v>0</v>
      </c>
      <c r="I37" s="13">
        <v>0.6</v>
      </c>
      <c r="J37" s="13">
        <v>2.4</v>
      </c>
      <c r="K37" s="13">
        <v>1.6</v>
      </c>
      <c r="L37" s="13">
        <v>0.5</v>
      </c>
      <c r="M37" s="13">
        <v>8.1999999999999993</v>
      </c>
      <c r="N37" s="13">
        <v>2</v>
      </c>
      <c r="O37" s="13">
        <v>2.8</v>
      </c>
      <c r="P37" s="13">
        <v>2.4</v>
      </c>
      <c r="Q37" s="13">
        <v>1.9</v>
      </c>
      <c r="R37" s="13">
        <v>1.9</v>
      </c>
      <c r="S37" s="13">
        <v>2</v>
      </c>
      <c r="T37" s="13">
        <v>3.1</v>
      </c>
      <c r="U37" s="13">
        <v>7.9</v>
      </c>
      <c r="V37" s="13">
        <v>1</v>
      </c>
      <c r="W37" s="13">
        <v>6.4</v>
      </c>
      <c r="X37" s="13">
        <v>0.8</v>
      </c>
      <c r="Y37" s="13">
        <v>6.3</v>
      </c>
      <c r="Z37" s="13">
        <v>4.9000000000000004</v>
      </c>
      <c r="AA37" s="13">
        <v>3.3</v>
      </c>
      <c r="AB37" s="13">
        <v>4.8</v>
      </c>
      <c r="AC37" s="13">
        <v>7.2</v>
      </c>
      <c r="AD37" s="13">
        <v>4.5</v>
      </c>
      <c r="AE37" s="13">
        <v>7.1</v>
      </c>
      <c r="AF37" s="23">
        <v>1.2</v>
      </c>
      <c r="AG37" s="23">
        <v>8.5</v>
      </c>
      <c r="AH37" s="23">
        <v>2.4</v>
      </c>
      <c r="AI37" s="23">
        <v>6.7</v>
      </c>
      <c r="AJ37" s="23">
        <v>5.9</v>
      </c>
      <c r="AK37" s="23">
        <v>7</v>
      </c>
      <c r="AL37" s="23">
        <v>15.7</v>
      </c>
      <c r="AM37" s="23">
        <v>11.425000000000001</v>
      </c>
      <c r="AN37" s="23">
        <v>8.9920000000000009</v>
      </c>
      <c r="AO37" s="23">
        <v>20.744</v>
      </c>
      <c r="AP37" s="23">
        <v>13.467000000000001</v>
      </c>
      <c r="AQ37" s="23">
        <v>21.353000000000002</v>
      </c>
      <c r="AR37" s="23">
        <v>27.504999999999999</v>
      </c>
      <c r="AS37" s="23">
        <v>27.827999999999999</v>
      </c>
      <c r="AT37" s="23">
        <v>15.999000000000001</v>
      </c>
    </row>
    <row r="38" spans="1:46" s="5" customFormat="1" x14ac:dyDescent="0.35">
      <c r="A38" s="5" t="s">
        <v>90</v>
      </c>
      <c r="B38" s="26">
        <v>4.7</v>
      </c>
      <c r="C38" s="13">
        <v>4.2</v>
      </c>
      <c r="D38" s="13">
        <v>4.0999999999999996</v>
      </c>
      <c r="E38" s="13">
        <v>3.8</v>
      </c>
      <c r="F38" s="13">
        <v>2.6</v>
      </c>
      <c r="G38" s="13">
        <v>3.1</v>
      </c>
      <c r="H38" s="13">
        <v>3.7</v>
      </c>
      <c r="I38" s="13">
        <v>5.0999999999999996</v>
      </c>
      <c r="J38" s="13">
        <v>7.1</v>
      </c>
      <c r="K38" s="13">
        <v>8.1</v>
      </c>
      <c r="L38" s="13">
        <v>4.8</v>
      </c>
      <c r="M38" s="13">
        <v>6.9</v>
      </c>
      <c r="N38" s="13">
        <v>6.8</v>
      </c>
      <c r="O38" s="13">
        <v>5.4</v>
      </c>
      <c r="P38" s="13">
        <v>4.2</v>
      </c>
      <c r="Q38" s="13">
        <v>3.3</v>
      </c>
      <c r="R38" s="13">
        <v>3.3</v>
      </c>
      <c r="S38" s="13">
        <v>4.0999999999999996</v>
      </c>
      <c r="T38" s="13">
        <v>4.5999999999999996</v>
      </c>
      <c r="U38" s="13">
        <v>6.3</v>
      </c>
      <c r="V38" s="13">
        <v>4.8</v>
      </c>
      <c r="W38" s="13">
        <v>7.9</v>
      </c>
      <c r="X38" s="13">
        <v>5.2</v>
      </c>
      <c r="Y38" s="13">
        <v>6.2</v>
      </c>
      <c r="Z38" s="13">
        <v>6.1</v>
      </c>
      <c r="AA38" s="13">
        <v>5.8</v>
      </c>
      <c r="AB38" s="13">
        <v>5.9</v>
      </c>
      <c r="AC38" s="13">
        <v>8</v>
      </c>
      <c r="AD38" s="13">
        <v>5.7</v>
      </c>
      <c r="AE38" s="13">
        <v>6.2</v>
      </c>
      <c r="AF38" s="23">
        <v>7.3</v>
      </c>
      <c r="AG38" s="23">
        <v>8.1</v>
      </c>
      <c r="AH38" s="23">
        <v>8.4</v>
      </c>
      <c r="AI38" s="23">
        <v>9.6</v>
      </c>
      <c r="AJ38" s="23">
        <v>7.9</v>
      </c>
      <c r="AK38" s="23">
        <v>9.5</v>
      </c>
      <c r="AL38" s="23">
        <v>6.7</v>
      </c>
      <c r="AM38" s="23">
        <v>10.185</v>
      </c>
      <c r="AN38" s="23">
        <v>10.398</v>
      </c>
      <c r="AO38" s="23">
        <v>10.438000000000001</v>
      </c>
      <c r="AP38" s="23">
        <v>9.3770000000000007</v>
      </c>
      <c r="AQ38" s="23">
        <v>13.683</v>
      </c>
      <c r="AR38" s="23">
        <v>11.401999999999999</v>
      </c>
      <c r="AS38" s="23">
        <v>11.523999999999999</v>
      </c>
      <c r="AT38" s="23">
        <v>11.423</v>
      </c>
    </row>
    <row r="39" spans="1:46" s="4" customFormat="1" ht="15" thickBot="1" x14ac:dyDescent="0.4">
      <c r="A39" s="33" t="s">
        <v>93</v>
      </c>
      <c r="B39" s="35">
        <v>9.1</v>
      </c>
      <c r="C39" s="34">
        <v>10.8</v>
      </c>
      <c r="D39" s="34">
        <v>12.1</v>
      </c>
      <c r="E39" s="34">
        <v>11.2</v>
      </c>
      <c r="F39" s="34">
        <v>10.3</v>
      </c>
      <c r="G39" s="34">
        <v>13.4</v>
      </c>
      <c r="H39" s="34">
        <v>16.100000000000001</v>
      </c>
      <c r="I39" s="34">
        <v>19.8</v>
      </c>
      <c r="J39" s="34">
        <v>24.4</v>
      </c>
      <c r="K39" s="34">
        <v>26.2</v>
      </c>
      <c r="L39" s="34">
        <v>22.7</v>
      </c>
      <c r="M39" s="34">
        <v>34.700000000000003</v>
      </c>
      <c r="N39" s="34">
        <v>29.6</v>
      </c>
      <c r="O39" s="34">
        <v>30.9</v>
      </c>
      <c r="P39" s="34">
        <v>30</v>
      </c>
      <c r="Q39" s="34">
        <v>29.3</v>
      </c>
      <c r="R39" s="34">
        <v>29.3</v>
      </c>
      <c r="S39" s="34">
        <v>32.1</v>
      </c>
      <c r="T39" s="34">
        <v>35.200000000000003</v>
      </c>
      <c r="U39" s="34">
        <v>35.200000000000003</v>
      </c>
      <c r="V39" s="34">
        <v>33</v>
      </c>
      <c r="W39" s="34">
        <v>44.5</v>
      </c>
      <c r="X39" s="34">
        <v>37.200000000000003</v>
      </c>
      <c r="Y39" s="34">
        <v>42.3</v>
      </c>
      <c r="Z39" s="34">
        <v>41</v>
      </c>
      <c r="AA39" s="34">
        <v>41.9</v>
      </c>
      <c r="AB39" s="34">
        <v>44.7</v>
      </c>
      <c r="AC39" s="34">
        <v>49.6</v>
      </c>
      <c r="AD39" s="34">
        <v>45.3</v>
      </c>
      <c r="AE39" s="34">
        <v>50.5</v>
      </c>
      <c r="AF39" s="34">
        <v>45.1</v>
      </c>
      <c r="AG39" s="34">
        <v>41.6</v>
      </c>
      <c r="AH39" s="34">
        <v>56.1</v>
      </c>
      <c r="AI39" s="34">
        <v>64.900000000000006</v>
      </c>
      <c r="AJ39" s="34">
        <v>66</v>
      </c>
      <c r="AK39" s="34">
        <v>69.5</v>
      </c>
      <c r="AL39" s="34">
        <v>76.3</v>
      </c>
      <c r="AM39" s="34">
        <v>75.695000000000007</v>
      </c>
      <c r="AN39" s="34">
        <v>71.180999999999997</v>
      </c>
      <c r="AO39" s="34">
        <v>83.697000000000003</v>
      </c>
      <c r="AP39" s="34">
        <v>77.62</v>
      </c>
      <c r="AQ39" s="34">
        <v>91.466999999999985</v>
      </c>
      <c r="AR39" s="34">
        <v>95.998000000000005</v>
      </c>
      <c r="AS39" s="34">
        <v>94.370999999999995</v>
      </c>
      <c r="AT39" s="34">
        <v>77.721000000000004</v>
      </c>
    </row>
    <row r="40" spans="1:46" s="4" customFormat="1" ht="15" thickTop="1" x14ac:dyDescent="0.35">
      <c r="A40" s="31"/>
      <c r="B40" s="37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</row>
    <row r="41" spans="1:46" s="5" customFormat="1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</row>
    <row r="42" spans="1:46" s="5" customFormat="1" x14ac:dyDescent="0.35">
      <c r="A42" s="3" t="s">
        <v>103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</row>
    <row r="43" spans="1:46" s="5" customFormat="1" x14ac:dyDescent="0.35">
      <c r="A43" s="5" t="s">
        <v>91</v>
      </c>
      <c r="B43" s="26">
        <v>-14.2</v>
      </c>
      <c r="C43" s="13">
        <v>-16</v>
      </c>
      <c r="D43" s="13">
        <v>-17.600000000000001</v>
      </c>
      <c r="E43" s="13">
        <v>-20.7</v>
      </c>
      <c r="F43" s="13">
        <v>-20.6</v>
      </c>
      <c r="G43" s="13">
        <v>-17.5</v>
      </c>
      <c r="H43" s="13">
        <v>-19.5</v>
      </c>
      <c r="I43" s="13">
        <v>-20.3</v>
      </c>
      <c r="J43" s="13">
        <v>-20.9</v>
      </c>
      <c r="K43" s="13">
        <v>-22.4</v>
      </c>
      <c r="L43" s="13">
        <v>-23.1</v>
      </c>
      <c r="M43" s="13">
        <v>-25.7</v>
      </c>
      <c r="N43" s="13">
        <v>-26.2</v>
      </c>
      <c r="O43" s="13">
        <v>-27.4</v>
      </c>
      <c r="P43" s="13">
        <v>-28.2</v>
      </c>
      <c r="Q43" s="13">
        <v>-28.2</v>
      </c>
      <c r="R43" s="13">
        <v>-31.1</v>
      </c>
      <c r="S43" s="13">
        <v>-32.200000000000003</v>
      </c>
      <c r="T43" s="13">
        <v>-31</v>
      </c>
      <c r="U43" s="13">
        <v>-36.299999999999997</v>
      </c>
      <c r="V43" s="13">
        <v>-32.700000000000003</v>
      </c>
      <c r="W43" s="13">
        <v>-34.700000000000003</v>
      </c>
      <c r="X43" s="13">
        <v>-34.700000000000003</v>
      </c>
      <c r="Y43" s="13">
        <v>-38.9</v>
      </c>
      <c r="Z43" s="13">
        <v>-35.799999999999997</v>
      </c>
      <c r="AA43" s="13">
        <v>-37.4</v>
      </c>
      <c r="AB43" s="13">
        <v>-37.4</v>
      </c>
      <c r="AC43" s="13">
        <v>-41.4</v>
      </c>
      <c r="AD43" s="13">
        <v>-40.299999999999997</v>
      </c>
      <c r="AE43" s="13">
        <v>-42.4</v>
      </c>
      <c r="AF43" s="23">
        <v>-46.7</v>
      </c>
      <c r="AG43" s="23">
        <v>-45.5</v>
      </c>
      <c r="AH43" s="23">
        <v>-42.94</v>
      </c>
      <c r="AI43" s="23">
        <v>-42.49</v>
      </c>
      <c r="AJ43" s="23">
        <v>-42.76</v>
      </c>
      <c r="AK43" s="23">
        <v>-45.470000000000006</v>
      </c>
      <c r="AL43" s="23">
        <v>-43.076000000000001</v>
      </c>
      <c r="AM43" s="23">
        <v>-47.42</v>
      </c>
      <c r="AN43" s="23">
        <v>-44.94</v>
      </c>
      <c r="AO43" s="23">
        <v>-49.44</v>
      </c>
      <c r="AP43" s="23">
        <v>-47.756</v>
      </c>
      <c r="AQ43" s="23">
        <v>-47.741</v>
      </c>
      <c r="AR43" s="23">
        <v>-48.606000000000002</v>
      </c>
      <c r="AS43" s="23">
        <v>-51.231999999999999</v>
      </c>
      <c r="AT43" s="23">
        <v>-49.174999999999997</v>
      </c>
    </row>
    <row r="44" spans="1:46" x14ac:dyDescent="0.35">
      <c r="A44" t="s">
        <v>92</v>
      </c>
      <c r="B44" s="29">
        <v>-9.6999999999999993</v>
      </c>
      <c r="C44" s="22">
        <v>-10.9</v>
      </c>
      <c r="D44" s="22">
        <v>-12.3</v>
      </c>
      <c r="E44" s="22">
        <v>-14.5</v>
      </c>
      <c r="F44" s="22">
        <v>-12.3</v>
      </c>
      <c r="G44" s="22">
        <v>-13.2</v>
      </c>
      <c r="H44" s="22">
        <v>-14.1</v>
      </c>
      <c r="I44" s="22">
        <v>-15.7</v>
      </c>
      <c r="J44" s="22">
        <v>-14.3</v>
      </c>
      <c r="K44" s="22">
        <v>-12.7</v>
      </c>
      <c r="L44" s="22">
        <v>-13.7</v>
      </c>
      <c r="M44" s="22">
        <v>-16.100000000000001</v>
      </c>
      <c r="N44" s="22">
        <v>-15.4</v>
      </c>
      <c r="O44" s="22">
        <v>-16.899999999999999</v>
      </c>
      <c r="P44" s="22">
        <v>-16.600000000000001</v>
      </c>
      <c r="Q44" s="22">
        <v>-16.600000000000001</v>
      </c>
      <c r="R44" s="22">
        <v>-15.7</v>
      </c>
      <c r="S44" s="22">
        <v>-19.600000000000001</v>
      </c>
      <c r="T44" s="22">
        <v>-17.7</v>
      </c>
      <c r="U44" s="22">
        <v>-18.5</v>
      </c>
      <c r="V44" s="22">
        <v>-17.600000000000001</v>
      </c>
      <c r="W44" s="22">
        <v>-18.5</v>
      </c>
      <c r="X44" s="22">
        <v>-18.7</v>
      </c>
      <c r="Y44" s="22">
        <v>-23.6</v>
      </c>
      <c r="Z44" s="22">
        <v>-20.6</v>
      </c>
      <c r="AA44" s="22">
        <v>-19.600000000000001</v>
      </c>
      <c r="AB44" s="22">
        <v>-22.2</v>
      </c>
      <c r="AC44" s="22">
        <v>-24.2</v>
      </c>
      <c r="AD44" s="22">
        <v>-23.2</v>
      </c>
      <c r="AE44" s="22">
        <v>-22.6</v>
      </c>
      <c r="AF44" s="22">
        <v>-23.2</v>
      </c>
      <c r="AG44" s="22">
        <v>-24.6</v>
      </c>
      <c r="AH44" s="22">
        <v>-23.8</v>
      </c>
      <c r="AI44" s="22">
        <v>-25.4</v>
      </c>
      <c r="AJ44" s="22">
        <v>-25.9</v>
      </c>
      <c r="AK44" s="22">
        <v>-28.672000000000001</v>
      </c>
      <c r="AL44" s="22">
        <v>-25.876999999999999</v>
      </c>
      <c r="AM44" s="22">
        <v>-26.452000000000002</v>
      </c>
      <c r="AN44" s="22">
        <v>-25.690999999999999</v>
      </c>
      <c r="AO44" s="22">
        <v>-27.404000000000003</v>
      </c>
      <c r="AP44" s="22">
        <v>-26.065000000000001</v>
      </c>
      <c r="AQ44" s="22">
        <v>-29.185000000000002</v>
      </c>
      <c r="AR44" s="23">
        <v>-28.7531</v>
      </c>
      <c r="AS44" s="23">
        <v>-28.904999999999998</v>
      </c>
      <c r="AT44" s="23">
        <v>-31.999999999999996</v>
      </c>
    </row>
    <row r="45" spans="1:46" x14ac:dyDescent="0.35">
      <c r="A45" t="s">
        <v>83</v>
      </c>
      <c r="B45" s="29">
        <v>-14.5</v>
      </c>
      <c r="C45" s="22">
        <v>-11.9</v>
      </c>
      <c r="D45" s="22">
        <v>-14</v>
      </c>
      <c r="E45" s="22">
        <v>-4.8</v>
      </c>
      <c r="F45" s="22">
        <v>-7.5</v>
      </c>
      <c r="G45" s="22">
        <v>-9.1999999999999993</v>
      </c>
      <c r="H45" s="22">
        <v>-11.8</v>
      </c>
      <c r="I45" s="22">
        <v>-13.5</v>
      </c>
      <c r="J45" s="22">
        <v>-15.4</v>
      </c>
      <c r="K45" s="22">
        <v>-15.4</v>
      </c>
      <c r="L45" s="22">
        <v>-15</v>
      </c>
      <c r="M45" s="22">
        <v>-19.2</v>
      </c>
      <c r="N45" s="22">
        <v>-17.600000000000001</v>
      </c>
      <c r="O45" s="22">
        <v>-16.8</v>
      </c>
      <c r="P45" s="22">
        <v>-17</v>
      </c>
      <c r="Q45" s="22">
        <v>-17</v>
      </c>
      <c r="R45" s="22">
        <v>-10</v>
      </c>
      <c r="S45" s="22">
        <v>-13.1</v>
      </c>
      <c r="T45" s="22">
        <v>-14</v>
      </c>
      <c r="U45" s="22">
        <v>-15.3</v>
      </c>
      <c r="V45" s="22">
        <v>-18.600000000000001</v>
      </c>
      <c r="W45" s="22">
        <v>-20.6</v>
      </c>
      <c r="X45" s="22">
        <v>-19.5</v>
      </c>
      <c r="Y45" s="22">
        <v>-23.3</v>
      </c>
      <c r="Z45" s="22">
        <v>-19.600000000000001</v>
      </c>
      <c r="AA45" s="22">
        <v>-23.8</v>
      </c>
      <c r="AB45" s="22">
        <v>-23.1</v>
      </c>
      <c r="AC45" s="22">
        <v>-24.5</v>
      </c>
      <c r="AD45" s="22">
        <v>-23</v>
      </c>
      <c r="AE45" s="22">
        <v>-25.6</v>
      </c>
      <c r="AF45" s="22">
        <v>-23.6</v>
      </c>
      <c r="AG45" s="22">
        <v>-29</v>
      </c>
      <c r="AH45" s="22">
        <v>-27.86</v>
      </c>
      <c r="AI45" s="22">
        <v>-28.31</v>
      </c>
      <c r="AJ45" s="22">
        <v>-27.54</v>
      </c>
      <c r="AK45" s="22">
        <v>-34.03</v>
      </c>
      <c r="AL45" s="22">
        <v>-35.411000000000001</v>
      </c>
      <c r="AM45" s="22">
        <v>-33.264000000000003</v>
      </c>
      <c r="AN45" s="22">
        <v>-36.35</v>
      </c>
      <c r="AO45" s="22">
        <v>-36.893000000000001</v>
      </c>
      <c r="AP45" s="22">
        <v>-40.092000000000006</v>
      </c>
      <c r="AQ45" s="22">
        <v>-39.220999999999997</v>
      </c>
      <c r="AR45" s="23">
        <v>-39.232999999999997</v>
      </c>
      <c r="AS45" s="23">
        <v>-40.061</v>
      </c>
      <c r="AT45" s="23">
        <v>-39.192</v>
      </c>
    </row>
    <row r="46" spans="1:46" x14ac:dyDescent="0.35">
      <c r="A46" t="s">
        <v>72</v>
      </c>
      <c r="B46" s="29">
        <v>-0.8</v>
      </c>
      <c r="C46" s="22">
        <v>-0.7</v>
      </c>
      <c r="D46" s="22">
        <v>-0.8</v>
      </c>
      <c r="E46" s="22">
        <v>-0.6</v>
      </c>
      <c r="F46" s="22">
        <v>-0.5</v>
      </c>
      <c r="G46" s="22">
        <v>-0.5</v>
      </c>
      <c r="H46" s="22">
        <v>-0.6</v>
      </c>
      <c r="I46" s="22">
        <v>-3.5</v>
      </c>
      <c r="J46" s="22">
        <v>-8.3000000000000007</v>
      </c>
      <c r="K46" s="22">
        <v>-8.3000000000000007</v>
      </c>
      <c r="L46" s="22">
        <v>-8.6999999999999993</v>
      </c>
      <c r="M46" s="22">
        <v>-8.9</v>
      </c>
      <c r="N46" s="22">
        <v>-10</v>
      </c>
      <c r="O46" s="22">
        <v>-10.5</v>
      </c>
      <c r="P46" s="22">
        <v>-8.9</v>
      </c>
      <c r="Q46" s="22">
        <v>-1.1000000000000001</v>
      </c>
      <c r="R46" s="22">
        <v>-10.1</v>
      </c>
      <c r="S46" s="22">
        <v>-8.3000000000000007</v>
      </c>
      <c r="T46" s="22">
        <v>-10</v>
      </c>
      <c r="U46" s="22">
        <v>-10.1</v>
      </c>
      <c r="V46" s="22">
        <v>-10.1</v>
      </c>
      <c r="W46" s="22">
        <v>-8.5</v>
      </c>
      <c r="X46" s="22">
        <v>-10.5</v>
      </c>
      <c r="Y46" s="22">
        <v>-12.3</v>
      </c>
      <c r="Z46" s="22">
        <v>-11.3</v>
      </c>
      <c r="AA46" s="22">
        <v>-11.1</v>
      </c>
      <c r="AB46" s="22">
        <v>-8.6</v>
      </c>
      <c r="AC46" s="22">
        <v>-9</v>
      </c>
      <c r="AD46" s="22">
        <v>-15.9</v>
      </c>
      <c r="AE46" s="22">
        <v>-11</v>
      </c>
      <c r="AF46" s="22">
        <v>-20.399999999999999</v>
      </c>
      <c r="AG46" s="22">
        <v>-10.199999999999999</v>
      </c>
      <c r="AH46" s="22">
        <v>1.8</v>
      </c>
      <c r="AI46" s="22">
        <v>-4.2750000000000004</v>
      </c>
      <c r="AJ46" s="22">
        <v>-13</v>
      </c>
      <c r="AK46" s="22">
        <v>-22.628</v>
      </c>
      <c r="AL46" s="22">
        <v>-15.2</v>
      </c>
      <c r="AM46" s="22">
        <v>-17.731419293863997</v>
      </c>
      <c r="AN46" s="22">
        <v>-16.679869474990419</v>
      </c>
      <c r="AO46" s="22">
        <v>-20.725718818133899</v>
      </c>
      <c r="AP46" s="22">
        <v>-13.88992040886297</v>
      </c>
      <c r="AQ46" s="22">
        <v>-28.904000000000003</v>
      </c>
      <c r="AR46" s="23">
        <v>-20.13</v>
      </c>
      <c r="AS46" s="23">
        <v>-15.444999999999999</v>
      </c>
      <c r="AT46" s="23">
        <v>-11.472999999999999</v>
      </c>
    </row>
    <row r="47" spans="1:46" s="2" customFormat="1" ht="15" thickBot="1" x14ac:dyDescent="0.4">
      <c r="A47" s="33" t="s">
        <v>93</v>
      </c>
      <c r="B47" s="35">
        <v>-39.200000000000003</v>
      </c>
      <c r="C47" s="34">
        <v>-39.5</v>
      </c>
      <c r="D47" s="34">
        <v>-44.7</v>
      </c>
      <c r="E47" s="34">
        <v>-40.700000000000003</v>
      </c>
      <c r="F47" s="34">
        <v>-41</v>
      </c>
      <c r="G47" s="34">
        <v>-40.4</v>
      </c>
      <c r="H47" s="34">
        <v>-46</v>
      </c>
      <c r="I47" s="34">
        <v>-53</v>
      </c>
      <c r="J47" s="34">
        <v>-59</v>
      </c>
      <c r="K47" s="34">
        <v>-58.8</v>
      </c>
      <c r="L47" s="34">
        <v>-60.5</v>
      </c>
      <c r="M47" s="34">
        <v>-69.900000000000006</v>
      </c>
      <c r="N47" s="34">
        <v>-69.099999999999994</v>
      </c>
      <c r="O47" s="34">
        <v>-71.599999999999994</v>
      </c>
      <c r="P47" s="34">
        <v>-70.7</v>
      </c>
      <c r="Q47" s="34">
        <v>-62.9</v>
      </c>
      <c r="R47" s="34">
        <v>-66.900000000000006</v>
      </c>
      <c r="S47" s="34">
        <v>-73.3</v>
      </c>
      <c r="T47" s="34">
        <v>-72.7</v>
      </c>
      <c r="U47" s="34">
        <v>-80.099999999999994</v>
      </c>
      <c r="V47" s="34">
        <v>-78.900000000000006</v>
      </c>
      <c r="W47" s="34">
        <v>-82.3</v>
      </c>
      <c r="X47" s="34">
        <v>-83.5</v>
      </c>
      <c r="Y47" s="34">
        <v>-98</v>
      </c>
      <c r="Z47" s="34">
        <v>-87.3</v>
      </c>
      <c r="AA47" s="34">
        <v>-91.9</v>
      </c>
      <c r="AB47" s="34">
        <v>-91.4</v>
      </c>
      <c r="AC47" s="34">
        <v>-99.1</v>
      </c>
      <c r="AD47" s="34">
        <v>-102.4</v>
      </c>
      <c r="AE47" s="34">
        <v>-101.7</v>
      </c>
      <c r="AF47" s="34">
        <v>-113.9</v>
      </c>
      <c r="AG47" s="34">
        <v>-109.3</v>
      </c>
      <c r="AH47" s="34">
        <v>-92.8</v>
      </c>
      <c r="AI47" s="34">
        <v>-100.47500000000001</v>
      </c>
      <c r="AJ47" s="34">
        <v>-109.19999999999999</v>
      </c>
      <c r="AK47" s="34">
        <v>-130.80000000000001</v>
      </c>
      <c r="AL47" s="34">
        <v>-119.56400000000001</v>
      </c>
      <c r="AM47" s="34">
        <v>-124.86741929386399</v>
      </c>
      <c r="AN47" s="34">
        <v>-123.66086947499042</v>
      </c>
      <c r="AO47" s="34">
        <v>-134.46271881813391</v>
      </c>
      <c r="AP47" s="34">
        <v>-127.80292040886297</v>
      </c>
      <c r="AQ47" s="34">
        <v>-145.05099999999999</v>
      </c>
      <c r="AR47" s="49">
        <f>SUM(AR43:AR46)</f>
        <v>-136.72209999999998</v>
      </c>
      <c r="AS47" s="49">
        <f>SUM(AS43:AS46)</f>
        <v>-135.643</v>
      </c>
      <c r="AT47" s="49">
        <f>SUM(AT43:AT46)</f>
        <v>-131.83999999999997</v>
      </c>
    </row>
    <row r="48" spans="1:46" s="4" customFormat="1" ht="15" thickTop="1" x14ac:dyDescent="0.35">
      <c r="A48" s="31"/>
      <c r="B48" s="37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</row>
    <row r="49" spans="1:46" x14ac:dyDescent="0.35"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</row>
    <row r="50" spans="1:46" x14ac:dyDescent="0.35">
      <c r="A50" s="3" t="s">
        <v>104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</row>
    <row r="51" spans="1:46" x14ac:dyDescent="0.35">
      <c r="A51" t="s">
        <v>94</v>
      </c>
      <c r="B51" s="29">
        <v>86.9</v>
      </c>
      <c r="C51" s="22">
        <v>96.2</v>
      </c>
      <c r="D51" s="22">
        <v>104.5</v>
      </c>
      <c r="E51" s="22">
        <v>103</v>
      </c>
      <c r="F51" s="22">
        <v>88.9</v>
      </c>
      <c r="G51" s="22">
        <v>94.5</v>
      </c>
      <c r="H51" s="22">
        <v>93.8</v>
      </c>
      <c r="I51" s="22">
        <v>98.7</v>
      </c>
      <c r="J51" s="22">
        <v>108.5</v>
      </c>
      <c r="K51" s="22">
        <v>113.3</v>
      </c>
      <c r="L51" s="22">
        <v>116.9</v>
      </c>
      <c r="M51" s="22">
        <v>126.4</v>
      </c>
      <c r="N51" s="22">
        <v>135.4</v>
      </c>
      <c r="O51" s="22">
        <v>133.5</v>
      </c>
      <c r="P51" s="22">
        <v>146.80000000000001</v>
      </c>
      <c r="Q51" s="22">
        <v>143.80000000000001</v>
      </c>
      <c r="R51" s="22">
        <v>140.9</v>
      </c>
      <c r="S51" s="22">
        <v>144.4</v>
      </c>
      <c r="T51" s="22">
        <v>147.6</v>
      </c>
      <c r="U51" s="22">
        <v>148.1</v>
      </c>
      <c r="V51" s="22">
        <v>147.1</v>
      </c>
      <c r="W51" s="22">
        <v>145.30000000000001</v>
      </c>
      <c r="X51" s="22">
        <v>160.4</v>
      </c>
      <c r="Y51" s="22">
        <v>189.3</v>
      </c>
      <c r="Z51" s="22">
        <v>168.5</v>
      </c>
      <c r="AA51" s="22">
        <v>177.7</v>
      </c>
      <c r="AB51" s="22">
        <v>188.7</v>
      </c>
      <c r="AC51" s="22">
        <v>213.3</v>
      </c>
      <c r="AD51" s="22">
        <v>218.9</v>
      </c>
      <c r="AE51" s="22">
        <v>225.8</v>
      </c>
      <c r="AF51" s="22">
        <v>259.39999999999998</v>
      </c>
      <c r="AG51" s="22">
        <v>273</v>
      </c>
      <c r="AH51" s="22">
        <v>226.1</v>
      </c>
      <c r="AI51" s="22">
        <v>250.8</v>
      </c>
      <c r="AJ51" s="22">
        <v>256.3</v>
      </c>
      <c r="AK51" s="22">
        <v>283.3</v>
      </c>
      <c r="AL51" s="22">
        <v>265.8</v>
      </c>
      <c r="AM51" s="22">
        <v>275.82399999999996</v>
      </c>
      <c r="AN51" s="22">
        <v>260.15000000000003</v>
      </c>
      <c r="AO51" s="22">
        <v>276.55752517000002</v>
      </c>
      <c r="AP51" s="22">
        <v>233.51944919024439</v>
      </c>
      <c r="AQ51" s="22">
        <v>257.13100000000003</v>
      </c>
      <c r="AR51" s="22">
        <v>239.256</v>
      </c>
      <c r="AS51" s="22">
        <v>245.64599999999999</v>
      </c>
      <c r="AT51" s="22">
        <v>240.72699999999998</v>
      </c>
    </row>
    <row r="52" spans="1:46" x14ac:dyDescent="0.35">
      <c r="A52" t="s">
        <v>65</v>
      </c>
      <c r="B52" s="29">
        <v>-7.9</v>
      </c>
      <c r="C52" s="22">
        <v>-6.5</v>
      </c>
      <c r="D52" s="22">
        <v>-11.3</v>
      </c>
      <c r="E52" s="22">
        <v>-54.1</v>
      </c>
      <c r="F52" s="22">
        <v>-25.6</v>
      </c>
      <c r="G52" s="22">
        <v>-14.9</v>
      </c>
      <c r="H52" s="22">
        <v>-8.6</v>
      </c>
      <c r="I52" s="22">
        <v>-4.0999999999999996</v>
      </c>
      <c r="J52" s="22">
        <v>-13.8</v>
      </c>
      <c r="K52" s="22">
        <v>-9</v>
      </c>
      <c r="L52" s="22">
        <v>-8.9</v>
      </c>
      <c r="M52" s="22">
        <v>-12.7</v>
      </c>
      <c r="N52" s="22">
        <v>-12.3</v>
      </c>
      <c r="O52" s="22">
        <v>-5.7</v>
      </c>
      <c r="P52" s="22">
        <v>-21.9</v>
      </c>
      <c r="Q52" s="22">
        <v>-13.8</v>
      </c>
      <c r="R52" s="22">
        <v>-23.7</v>
      </c>
      <c r="S52" s="22">
        <v>-28.7</v>
      </c>
      <c r="T52" s="22">
        <v>-32.799999999999997</v>
      </c>
      <c r="U52" s="22">
        <v>-25.6</v>
      </c>
      <c r="V52" s="22">
        <v>-16.899999999999999</v>
      </c>
      <c r="W52" s="22">
        <v>-31.3</v>
      </c>
      <c r="X52" s="22">
        <v>-18.600000000000001</v>
      </c>
      <c r="Y52" s="22">
        <v>-26</v>
      </c>
      <c r="Z52" s="22">
        <v>-25.5</v>
      </c>
      <c r="AA52" s="22">
        <v>-14.9</v>
      </c>
      <c r="AB52" s="22">
        <v>-16.8</v>
      </c>
      <c r="AC52" s="22">
        <v>-43.6</v>
      </c>
      <c r="AD52" s="22">
        <v>-43.3</v>
      </c>
      <c r="AE52" s="22">
        <v>-36.4</v>
      </c>
      <c r="AF52" s="22">
        <v>-90.4</v>
      </c>
      <c r="AG52" s="22">
        <v>-48.6</v>
      </c>
      <c r="AH52" s="22">
        <v>-48.9</v>
      </c>
      <c r="AI52" s="22">
        <v>-54.1</v>
      </c>
      <c r="AJ52" s="22">
        <v>-50.2</v>
      </c>
      <c r="AK52" s="22">
        <v>-55.3</v>
      </c>
      <c r="AL52" s="22">
        <v>-57.9</v>
      </c>
      <c r="AM52" s="22">
        <v>-56.613999999999997</v>
      </c>
      <c r="AN52" s="22">
        <v>-54.866</v>
      </c>
      <c r="AO52" s="22">
        <v>-50.795213860000004</v>
      </c>
      <c r="AP52" s="22">
        <v>-22.463000000000001</v>
      </c>
      <c r="AQ52" s="22">
        <v>-33.128</v>
      </c>
      <c r="AR52" s="22">
        <v>-33.128999999999998</v>
      </c>
      <c r="AS52" s="22">
        <v>-29.491</v>
      </c>
      <c r="AT52" s="22">
        <v>-29.491</v>
      </c>
    </row>
    <row r="53" spans="1:46" x14ac:dyDescent="0.35">
      <c r="A53" t="s">
        <v>95</v>
      </c>
      <c r="B53" s="29">
        <v>78.900000000000006</v>
      </c>
      <c r="C53" s="22">
        <v>89.7</v>
      </c>
      <c r="D53" s="22">
        <v>93.2</v>
      </c>
      <c r="E53" s="22">
        <v>49</v>
      </c>
      <c r="F53" s="22">
        <v>63.3</v>
      </c>
      <c r="G53" s="22">
        <v>79.7</v>
      </c>
      <c r="H53" s="22">
        <v>85.2</v>
      </c>
      <c r="I53" s="22">
        <v>94.6</v>
      </c>
      <c r="J53" s="22">
        <v>94.7</v>
      </c>
      <c r="K53" s="22">
        <v>104.3</v>
      </c>
      <c r="L53" s="22">
        <v>108</v>
      </c>
      <c r="M53" s="22">
        <v>113.7</v>
      </c>
      <c r="N53" s="22">
        <v>123</v>
      </c>
      <c r="O53" s="22">
        <v>127.8</v>
      </c>
      <c r="P53" s="22">
        <v>124.9</v>
      </c>
      <c r="Q53" s="22">
        <v>130</v>
      </c>
      <c r="R53" s="22">
        <v>117.2</v>
      </c>
      <c r="S53" s="22">
        <v>115.7</v>
      </c>
      <c r="T53" s="22">
        <v>114.7</v>
      </c>
      <c r="U53" s="22">
        <v>122.5</v>
      </c>
      <c r="V53" s="22">
        <v>130.30000000000001</v>
      </c>
      <c r="W53" s="22">
        <v>113.9</v>
      </c>
      <c r="X53" s="22">
        <v>141.80000000000001</v>
      </c>
      <c r="Y53" s="22">
        <v>163.30000000000001</v>
      </c>
      <c r="Z53" s="22">
        <v>143</v>
      </c>
      <c r="AA53" s="22">
        <v>162.80000000000001</v>
      </c>
      <c r="AB53" s="22">
        <v>171.9</v>
      </c>
      <c r="AC53" s="22">
        <v>169.7</v>
      </c>
      <c r="AD53" s="22">
        <v>175.6</v>
      </c>
      <c r="AE53" s="22">
        <v>189.4</v>
      </c>
      <c r="AF53" s="22">
        <v>168.9</v>
      </c>
      <c r="AG53" s="22">
        <v>224.4</v>
      </c>
      <c r="AH53" s="22">
        <v>177.2</v>
      </c>
      <c r="AI53" s="22">
        <v>196.7</v>
      </c>
      <c r="AJ53" s="22">
        <v>206.1</v>
      </c>
      <c r="AK53" s="22">
        <v>227.9</v>
      </c>
      <c r="AL53" s="22">
        <v>207.9</v>
      </c>
      <c r="AM53" s="22">
        <v>219.20999999999995</v>
      </c>
      <c r="AN53" s="22">
        <v>205.28400000000005</v>
      </c>
      <c r="AO53" s="22">
        <v>225.76231131000003</v>
      </c>
      <c r="AP53" s="22">
        <v>211.05644919024439</v>
      </c>
      <c r="AQ53" s="22">
        <v>224.00300000000004</v>
      </c>
      <c r="AR53" s="22">
        <v>206.12700000000001</v>
      </c>
      <c r="AS53" s="22">
        <v>216.15499999999997</v>
      </c>
      <c r="AT53" s="22">
        <v>216.15499999999997</v>
      </c>
    </row>
    <row r="54" spans="1:46" x14ac:dyDescent="0.35">
      <c r="A54" t="s">
        <v>67</v>
      </c>
      <c r="B54" s="29">
        <v>9.1</v>
      </c>
      <c r="C54" s="22">
        <v>10.8</v>
      </c>
      <c r="D54" s="22">
        <v>12.1</v>
      </c>
      <c r="E54" s="22">
        <v>11.2</v>
      </c>
      <c r="F54" s="22">
        <v>10.3</v>
      </c>
      <c r="G54" s="22">
        <v>13.4</v>
      </c>
      <c r="H54" s="22">
        <v>16.100000000000001</v>
      </c>
      <c r="I54" s="22">
        <v>19.8</v>
      </c>
      <c r="J54" s="22">
        <v>24.4</v>
      </c>
      <c r="K54" s="22">
        <v>26.2</v>
      </c>
      <c r="L54" s="22">
        <v>22.8</v>
      </c>
      <c r="M54" s="22">
        <v>34.700000000000003</v>
      </c>
      <c r="N54" s="22">
        <v>29.6</v>
      </c>
      <c r="O54" s="22">
        <v>30.9</v>
      </c>
      <c r="P54" s="22">
        <v>30</v>
      </c>
      <c r="Q54" s="22">
        <v>34.799999999999997</v>
      </c>
      <c r="R54" s="22">
        <v>29.3</v>
      </c>
      <c r="S54" s="22">
        <v>32.1</v>
      </c>
      <c r="T54" s="22">
        <v>35.200000000000003</v>
      </c>
      <c r="U54" s="22">
        <v>40.799999999999997</v>
      </c>
      <c r="V54" s="22">
        <v>33</v>
      </c>
      <c r="W54" s="22">
        <v>44.5</v>
      </c>
      <c r="X54" s="22">
        <v>37.200000000000003</v>
      </c>
      <c r="Y54" s="22">
        <v>42.3</v>
      </c>
      <c r="Z54" s="22">
        <v>41</v>
      </c>
      <c r="AA54" s="22">
        <v>41.9</v>
      </c>
      <c r="AB54" s="22">
        <v>44.7</v>
      </c>
      <c r="AC54" s="22">
        <v>49.6</v>
      </c>
      <c r="AD54" s="22">
        <v>41</v>
      </c>
      <c r="AE54" s="22">
        <v>50.5</v>
      </c>
      <c r="AF54" s="22">
        <v>45.1</v>
      </c>
      <c r="AG54" s="22">
        <v>58.2</v>
      </c>
      <c r="AH54" s="22">
        <v>56.1</v>
      </c>
      <c r="AI54" s="22">
        <v>64.900000000000006</v>
      </c>
      <c r="AJ54" s="22">
        <v>66</v>
      </c>
      <c r="AK54" s="22">
        <v>69.5</v>
      </c>
      <c r="AL54" s="22">
        <v>76.3</v>
      </c>
      <c r="AM54" s="22">
        <v>75.695000000000007</v>
      </c>
      <c r="AN54" s="22">
        <v>71.180999999999997</v>
      </c>
      <c r="AO54" s="22">
        <v>83.697000000000003</v>
      </c>
      <c r="AP54" s="22">
        <v>77.62</v>
      </c>
      <c r="AQ54" s="22">
        <v>91.466999999999985</v>
      </c>
      <c r="AR54" s="22">
        <v>95.998000000000005</v>
      </c>
      <c r="AS54" s="22">
        <v>94.370999999999995</v>
      </c>
      <c r="AT54" s="22">
        <v>77.721000000000004</v>
      </c>
    </row>
    <row r="55" spans="1:46" x14ac:dyDescent="0.35">
      <c r="A55" t="s">
        <v>96</v>
      </c>
      <c r="B55" s="29">
        <v>-23.8</v>
      </c>
      <c r="C55" s="22">
        <v>-26.8</v>
      </c>
      <c r="D55" s="22">
        <v>-29.7</v>
      </c>
      <c r="E55" s="22">
        <v>-34.6</v>
      </c>
      <c r="F55" s="22">
        <v>-32.9</v>
      </c>
      <c r="G55" s="22">
        <v>-30.5</v>
      </c>
      <c r="H55" s="22">
        <v>-33.200000000000003</v>
      </c>
      <c r="I55" s="22">
        <v>-35.799999999999997</v>
      </c>
      <c r="J55" s="22">
        <v>-34.799999999999997</v>
      </c>
      <c r="K55" s="22">
        <v>-35.1</v>
      </c>
      <c r="L55" s="22">
        <v>-36.799999999999997</v>
      </c>
      <c r="M55" s="22">
        <v>-50.7</v>
      </c>
      <c r="N55" s="22">
        <v>-51.5</v>
      </c>
      <c r="O55" s="22">
        <v>-44.3</v>
      </c>
      <c r="P55" s="22">
        <v>-44.8</v>
      </c>
      <c r="Q55" s="22">
        <v>-48.3</v>
      </c>
      <c r="R55" s="22">
        <v>-46.8</v>
      </c>
      <c r="S55" s="22">
        <v>-51.8</v>
      </c>
      <c r="T55" s="22">
        <v>-48.7</v>
      </c>
      <c r="U55" s="22">
        <v>-54.7</v>
      </c>
      <c r="V55" s="22">
        <v>-50.3</v>
      </c>
      <c r="W55" s="22">
        <v>-53.1</v>
      </c>
      <c r="X55" s="22">
        <v>-53.4</v>
      </c>
      <c r="Y55" s="22">
        <v>-62.5</v>
      </c>
      <c r="Z55" s="22">
        <v>-56.4</v>
      </c>
      <c r="AA55" s="22">
        <v>-57</v>
      </c>
      <c r="AB55" s="22">
        <v>-59.7</v>
      </c>
      <c r="AC55" s="22">
        <v>-65.599999999999994</v>
      </c>
      <c r="AD55" s="22">
        <v>-63.5</v>
      </c>
      <c r="AE55" s="22">
        <v>-65.099999999999994</v>
      </c>
      <c r="AF55" s="22">
        <v>-69.900000000000006</v>
      </c>
      <c r="AG55" s="22">
        <v>-70.099999999999994</v>
      </c>
      <c r="AH55" s="22">
        <v>-66.739999999999995</v>
      </c>
      <c r="AI55" s="22">
        <v>-67.89</v>
      </c>
      <c r="AJ55" s="22">
        <v>-68.66</v>
      </c>
      <c r="AK55" s="22">
        <v>-74.14200000000001</v>
      </c>
      <c r="AL55" s="22">
        <v>-68.953000000000003</v>
      </c>
      <c r="AM55" s="22">
        <v>-73.872</v>
      </c>
      <c r="AN55" s="22">
        <v>-70.631</v>
      </c>
      <c r="AO55" s="22">
        <v>-76.843999999999994</v>
      </c>
      <c r="AP55" s="22">
        <v>-73.820999999999998</v>
      </c>
      <c r="AQ55" s="22">
        <v>-76.926000000000002</v>
      </c>
      <c r="AR55" s="22">
        <v>-77.359099999999998</v>
      </c>
      <c r="AS55" s="22">
        <v>-80.137</v>
      </c>
      <c r="AT55" s="22">
        <v>-81.174999999999997</v>
      </c>
    </row>
    <row r="56" spans="1:46" x14ac:dyDescent="0.35">
      <c r="A56" t="s">
        <v>72</v>
      </c>
      <c r="B56" s="29">
        <v>-0.8</v>
      </c>
      <c r="C56" s="22">
        <v>-0.7</v>
      </c>
      <c r="D56" s="22">
        <v>-0.8</v>
      </c>
      <c r="E56" s="22">
        <v>-0.6</v>
      </c>
      <c r="F56" s="22">
        <v>-0.5</v>
      </c>
      <c r="G56" s="22">
        <v>-0.5</v>
      </c>
      <c r="H56" s="22">
        <v>-0.6</v>
      </c>
      <c r="I56" s="22">
        <v>-3.5</v>
      </c>
      <c r="J56" s="22">
        <v>-8.3000000000000007</v>
      </c>
      <c r="K56" s="22">
        <v>-8.3000000000000007</v>
      </c>
      <c r="L56" s="22">
        <v>-8.6999999999999993</v>
      </c>
      <c r="M56" s="22">
        <v>-8.9</v>
      </c>
      <c r="N56" s="22">
        <v>-10</v>
      </c>
      <c r="O56" s="22">
        <v>-10.5</v>
      </c>
      <c r="P56" s="22">
        <v>-8.9</v>
      </c>
      <c r="Q56" s="22">
        <v>-1.1000000000000001</v>
      </c>
      <c r="R56" s="22">
        <v>-10.1</v>
      </c>
      <c r="S56" s="22">
        <v>-8.3000000000000007</v>
      </c>
      <c r="T56" s="22">
        <v>-10</v>
      </c>
      <c r="U56" s="22">
        <v>-10.1</v>
      </c>
      <c r="V56" s="22">
        <v>-10.1</v>
      </c>
      <c r="W56" s="22">
        <v>-8.5</v>
      </c>
      <c r="X56" s="22">
        <v>-10.5</v>
      </c>
      <c r="Y56" s="22">
        <v>-12.3</v>
      </c>
      <c r="Z56" s="22">
        <v>-11.3</v>
      </c>
      <c r="AA56" s="22">
        <v>-11.1</v>
      </c>
      <c r="AB56" s="22">
        <v>-8.5</v>
      </c>
      <c r="AC56" s="22">
        <v>-9</v>
      </c>
      <c r="AD56" s="22">
        <v>-15.9</v>
      </c>
      <c r="AE56" s="22">
        <v>-17.2</v>
      </c>
      <c r="AF56" s="22">
        <v>-22.2</v>
      </c>
      <c r="AG56" s="22">
        <v>-10.199999999999999</v>
      </c>
      <c r="AH56" s="22">
        <v>1.8</v>
      </c>
      <c r="AI56" s="22">
        <v>-4.2750000000000004</v>
      </c>
      <c r="AJ56" s="22">
        <v>-13</v>
      </c>
      <c r="AK56" s="22">
        <v>-22.628</v>
      </c>
      <c r="AL56" s="22">
        <v>-15.2</v>
      </c>
      <c r="AM56" s="22">
        <v>-17.731419293863997</v>
      </c>
      <c r="AN56" s="22">
        <v>-16.679869474990419</v>
      </c>
      <c r="AO56" s="22">
        <v>-20.725718818133899</v>
      </c>
      <c r="AP56" s="22">
        <v>-13.88992040886297</v>
      </c>
      <c r="AQ56" s="22">
        <v>-29.679000000000002</v>
      </c>
      <c r="AR56" s="22">
        <v>-20.6449</v>
      </c>
      <c r="AS56" s="22">
        <v>-15.444999999999999</v>
      </c>
      <c r="AT56" s="22">
        <v>-11.472999999999999</v>
      </c>
    </row>
    <row r="57" spans="1:46" x14ac:dyDescent="0.35">
      <c r="A57" t="s">
        <v>73</v>
      </c>
      <c r="B57" s="29">
        <v>-5</v>
      </c>
      <c r="C57" s="22">
        <v>-5.3</v>
      </c>
      <c r="D57" s="22">
        <v>-5.6</v>
      </c>
      <c r="E57" s="22">
        <v>-6.6</v>
      </c>
      <c r="F57" s="22">
        <v>-3.9</v>
      </c>
      <c r="G57" s="22">
        <v>-6.8</v>
      </c>
      <c r="H57" s="22">
        <v>-5.3</v>
      </c>
      <c r="I57" s="22">
        <v>-24</v>
      </c>
      <c r="J57" s="22">
        <v>-3.6</v>
      </c>
      <c r="K57" s="22">
        <v>-7.5</v>
      </c>
      <c r="L57" s="22">
        <v>-6.3</v>
      </c>
      <c r="M57" s="22">
        <v>-0.8</v>
      </c>
      <c r="N57" s="22">
        <v>-2.2000000000000002</v>
      </c>
      <c r="O57" s="22">
        <v>0.4</v>
      </c>
      <c r="P57" s="22">
        <v>-2</v>
      </c>
      <c r="Q57" s="22">
        <v>3.5</v>
      </c>
      <c r="R57" s="22">
        <v>2.5</v>
      </c>
      <c r="S57" s="22">
        <v>4</v>
      </c>
      <c r="T57" s="22">
        <v>0.1</v>
      </c>
      <c r="U57" s="22">
        <v>-0.6</v>
      </c>
      <c r="V57" s="22">
        <v>-1.7</v>
      </c>
      <c r="W57" s="22">
        <v>12.6</v>
      </c>
      <c r="X57" s="22">
        <v>-1.3</v>
      </c>
      <c r="Y57" s="22">
        <v>-10.3</v>
      </c>
      <c r="Z57" s="22">
        <v>4.4000000000000004</v>
      </c>
      <c r="AA57" s="22">
        <v>1.7</v>
      </c>
      <c r="AB57" s="22">
        <v>-10.1</v>
      </c>
      <c r="AC57" s="22">
        <v>-6.7</v>
      </c>
      <c r="AD57" s="22">
        <v>-2.9</v>
      </c>
      <c r="AE57" s="22">
        <v>-6.2</v>
      </c>
      <c r="AF57" s="22">
        <v>-6.2</v>
      </c>
      <c r="AG57" s="22">
        <v>-16.5</v>
      </c>
      <c r="AH57" s="22">
        <v>7.3</v>
      </c>
      <c r="AI57" s="22">
        <v>-6.5</v>
      </c>
      <c r="AJ57" s="22">
        <v>-9.6999999999999993</v>
      </c>
      <c r="AK57" s="22">
        <v>-5.6</v>
      </c>
      <c r="AL57" s="22">
        <v>5.6289999999999978</v>
      </c>
      <c r="AM57" s="22">
        <v>-1.8530000000000015</v>
      </c>
      <c r="AN57" s="22">
        <v>2.9239999999999995</v>
      </c>
      <c r="AO57" s="22">
        <v>-3.9489999999999998</v>
      </c>
      <c r="AP57" s="22">
        <v>-0.56699999999999995</v>
      </c>
      <c r="AQ57" s="22">
        <v>-0.77500000000000002</v>
      </c>
      <c r="AR57" s="22">
        <v>-0.51489999999999991</v>
      </c>
      <c r="AS57" s="22">
        <v>2.4239999999999999</v>
      </c>
      <c r="AT57" s="22">
        <v>4.713000000000001</v>
      </c>
    </row>
    <row r="58" spans="1:46" x14ac:dyDescent="0.35">
      <c r="A58" t="s">
        <v>77</v>
      </c>
      <c r="B58" s="22" t="s">
        <v>16</v>
      </c>
      <c r="C58" s="22">
        <v>0</v>
      </c>
      <c r="D58" s="22">
        <v>1.2</v>
      </c>
      <c r="E58" s="22">
        <v>0</v>
      </c>
      <c r="F58" s="22">
        <v>-1.7</v>
      </c>
      <c r="G58" s="22">
        <v>-1</v>
      </c>
      <c r="H58" s="22">
        <v>-0.2</v>
      </c>
      <c r="I58" s="22">
        <v>-0.3</v>
      </c>
      <c r="J58" s="22">
        <v>-0.3</v>
      </c>
      <c r="K58" s="22">
        <v>-1.9</v>
      </c>
      <c r="L58" s="22">
        <v>0.3</v>
      </c>
      <c r="M58" s="22">
        <v>-0.5</v>
      </c>
      <c r="N58" s="22">
        <v>-0.4</v>
      </c>
      <c r="O58" s="22">
        <v>-4</v>
      </c>
      <c r="P58" s="22">
        <v>2.7</v>
      </c>
      <c r="Q58" s="22">
        <v>-4.2</v>
      </c>
      <c r="R58" s="22">
        <v>-0.9</v>
      </c>
      <c r="S58" s="22">
        <v>-3.8</v>
      </c>
      <c r="T58" s="22">
        <v>-1.4</v>
      </c>
      <c r="U58" s="22">
        <v>-0.4</v>
      </c>
      <c r="V58" s="22">
        <v>0.1</v>
      </c>
      <c r="W58" s="22">
        <v>-0.6</v>
      </c>
      <c r="X58" s="22">
        <v>-1.1000000000000001</v>
      </c>
      <c r="Y58" s="22">
        <v>-0.1</v>
      </c>
      <c r="Z58" s="22">
        <v>-0.3</v>
      </c>
      <c r="AA58" s="22">
        <v>-2</v>
      </c>
      <c r="AB58" s="22">
        <v>0.5</v>
      </c>
      <c r="AC58" s="22">
        <v>-0.5</v>
      </c>
      <c r="AD58" s="22">
        <v>-0.8</v>
      </c>
      <c r="AE58" s="22">
        <v>-2.8</v>
      </c>
      <c r="AF58" s="22">
        <v>-2.9</v>
      </c>
      <c r="AG58" s="22">
        <v>0.2</v>
      </c>
      <c r="AH58" s="22">
        <v>-7.9</v>
      </c>
      <c r="AI58" s="22">
        <v>-0.3</v>
      </c>
      <c r="AJ58" s="22">
        <v>-1.5</v>
      </c>
      <c r="AK58" s="22">
        <v>-2.5</v>
      </c>
      <c r="AL58" s="22">
        <v>-7.694</v>
      </c>
      <c r="AM58" s="22">
        <v>-10.493</v>
      </c>
      <c r="AN58" s="22">
        <v>-10.582000000000001</v>
      </c>
      <c r="AO58" s="22">
        <v>-8.1270000000000007</v>
      </c>
      <c r="AP58" s="22">
        <v>-9.9350000000000005</v>
      </c>
      <c r="AQ58" s="22">
        <v>-10.349</v>
      </c>
      <c r="AR58" s="22">
        <v>-5.7000000000000002E-2</v>
      </c>
      <c r="AS58" s="22">
        <v>-1.07</v>
      </c>
      <c r="AT58" s="22">
        <v>-0.71499999999999997</v>
      </c>
    </row>
    <row r="59" spans="1:46" s="2" customFormat="1" ht="15" thickBot="1" x14ac:dyDescent="0.4">
      <c r="A59" s="33" t="s">
        <v>98</v>
      </c>
      <c r="B59" s="36">
        <f t="shared" ref="B59:AS59" si="0">SUM(B51,B52,B54,B55,B56,B57,B58)</f>
        <v>58.5</v>
      </c>
      <c r="C59" s="36">
        <f t="shared" si="0"/>
        <v>67.7</v>
      </c>
      <c r="D59" s="36">
        <f t="shared" si="0"/>
        <v>70.400000000000006</v>
      </c>
      <c r="E59" s="36">
        <f t="shared" si="0"/>
        <v>18.29999999999999</v>
      </c>
      <c r="F59" s="36">
        <f t="shared" si="0"/>
        <v>34.600000000000009</v>
      </c>
      <c r="G59" s="36">
        <f t="shared" si="0"/>
        <v>54.2</v>
      </c>
      <c r="H59" s="36">
        <f t="shared" si="0"/>
        <v>62.000000000000014</v>
      </c>
      <c r="I59" s="36">
        <f t="shared" si="0"/>
        <v>50.800000000000011</v>
      </c>
      <c r="J59" s="36">
        <f t="shared" si="0"/>
        <v>72.100000000000009</v>
      </c>
      <c r="K59" s="36">
        <f t="shared" si="0"/>
        <v>77.7</v>
      </c>
      <c r="L59" s="36">
        <f t="shared" si="0"/>
        <v>79.300000000000011</v>
      </c>
      <c r="M59" s="36">
        <f t="shared" si="0"/>
        <v>87.5</v>
      </c>
      <c r="N59" s="36">
        <f t="shared" si="0"/>
        <v>88.600000000000009</v>
      </c>
      <c r="O59" s="36">
        <f t="shared" si="0"/>
        <v>100.3</v>
      </c>
      <c r="P59" s="36">
        <f t="shared" si="0"/>
        <v>101.9</v>
      </c>
      <c r="Q59" s="36">
        <f t="shared" si="0"/>
        <v>114.70000000000002</v>
      </c>
      <c r="R59" s="36">
        <f t="shared" si="0"/>
        <v>91.2</v>
      </c>
      <c r="S59" s="36">
        <f t="shared" si="0"/>
        <v>87.90000000000002</v>
      </c>
      <c r="T59" s="36">
        <f t="shared" si="0"/>
        <v>89.999999999999986</v>
      </c>
      <c r="U59" s="36">
        <f t="shared" si="0"/>
        <v>97.500000000000014</v>
      </c>
      <c r="V59" s="36">
        <f t="shared" si="0"/>
        <v>101.19999999999999</v>
      </c>
      <c r="W59" s="36">
        <f t="shared" si="0"/>
        <v>108.9</v>
      </c>
      <c r="X59" s="36">
        <f t="shared" si="0"/>
        <v>112.7</v>
      </c>
      <c r="Y59" s="36">
        <f t="shared" si="0"/>
        <v>120.40000000000002</v>
      </c>
      <c r="Z59" s="36">
        <f t="shared" si="0"/>
        <v>120.4</v>
      </c>
      <c r="AA59" s="36">
        <f t="shared" si="0"/>
        <v>136.29999999999998</v>
      </c>
      <c r="AB59" s="36">
        <f t="shared" si="0"/>
        <v>138.79999999999998</v>
      </c>
      <c r="AC59" s="36">
        <f t="shared" si="0"/>
        <v>137.50000000000003</v>
      </c>
      <c r="AD59" s="36">
        <f t="shared" si="0"/>
        <v>133.5</v>
      </c>
      <c r="AE59" s="36">
        <f t="shared" si="0"/>
        <v>148.60000000000002</v>
      </c>
      <c r="AF59" s="36">
        <f t="shared" si="0"/>
        <v>112.89999999999995</v>
      </c>
      <c r="AG59" s="36">
        <f t="shared" si="0"/>
        <v>186.00000000000003</v>
      </c>
      <c r="AH59" s="36">
        <f t="shared" si="0"/>
        <v>167.76000000000002</v>
      </c>
      <c r="AI59" s="36">
        <f t="shared" si="0"/>
        <v>182.63500000000002</v>
      </c>
      <c r="AJ59" s="36">
        <f t="shared" si="0"/>
        <v>179.24000000000004</v>
      </c>
      <c r="AK59" s="36">
        <f t="shared" si="0"/>
        <v>192.63000000000002</v>
      </c>
      <c r="AL59" s="36">
        <f t="shared" si="0"/>
        <v>197.982</v>
      </c>
      <c r="AM59" s="36">
        <f t="shared" si="0"/>
        <v>190.95558070613595</v>
      </c>
      <c r="AN59" s="36">
        <f t="shared" si="0"/>
        <v>181.49613052500962</v>
      </c>
      <c r="AO59" s="36">
        <f t="shared" si="0"/>
        <v>199.81359249186613</v>
      </c>
      <c r="AP59" s="36">
        <f t="shared" si="0"/>
        <v>190.46352878138143</v>
      </c>
      <c r="AQ59" s="36">
        <f t="shared" si="0"/>
        <v>197.74100000000004</v>
      </c>
      <c r="AR59" s="36">
        <f t="shared" si="0"/>
        <v>203.54909999999998</v>
      </c>
      <c r="AS59" s="36">
        <f t="shared" si="0"/>
        <v>216.29799999999997</v>
      </c>
      <c r="AT59" s="36">
        <f>SUM(AT51,AT52,AT54,AT55,AT56,AT57,AT58)</f>
        <v>200.30699999999996</v>
      </c>
    </row>
    <row r="60" spans="1:46" ht="15" thickTop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</row>
    <row r="61" spans="1:46" x14ac:dyDescent="0.35">
      <c r="A61" s="178" t="s">
        <v>115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</row>
    <row r="62" spans="1:46" ht="21" customHeight="1" x14ac:dyDescent="0.35">
      <c r="A62" s="178"/>
    </row>
    <row r="63" spans="1:46" x14ac:dyDescent="0.35">
      <c r="A63" s="178"/>
    </row>
    <row r="64" spans="1:46" x14ac:dyDescent="0.35">
      <c r="A64" s="178"/>
    </row>
    <row r="65" spans="1:1" x14ac:dyDescent="0.35">
      <c r="A65" s="178"/>
    </row>
    <row r="66" spans="1:1" x14ac:dyDescent="0.35">
      <c r="A66" s="178"/>
    </row>
    <row r="67" spans="1:1" x14ac:dyDescent="0.35">
      <c r="A67" s="178"/>
    </row>
  </sheetData>
  <mergeCells count="1">
    <mergeCell ref="A61:A67"/>
  </mergeCells>
  <hyperlinks>
    <hyperlink ref="B6" location="Índice!A1" display="Índice"/>
    <hyperlink ref="AT6" location="Índice!A1" display="Índice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M71"/>
  <sheetViews>
    <sheetView showGridLines="0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L9" sqref="L9"/>
    </sheetView>
  </sheetViews>
  <sheetFormatPr defaultRowHeight="14.5" x14ac:dyDescent="0.35"/>
  <cols>
    <col min="1" max="1" width="61.81640625" bestFit="1" customWidth="1"/>
    <col min="2" max="10" width="12" customWidth="1"/>
    <col min="11" max="12" width="11.1796875" customWidth="1"/>
  </cols>
  <sheetData>
    <row r="1" spans="1:13" x14ac:dyDescent="0.35">
      <c r="K1" s="52"/>
    </row>
    <row r="2" spans="1:13" ht="21" x14ac:dyDescent="0.5">
      <c r="A2" s="8" t="s">
        <v>12</v>
      </c>
    </row>
    <row r="3" spans="1:13" ht="6.75" customHeight="1" x14ac:dyDescent="0.35">
      <c r="A3" s="7"/>
    </row>
    <row r="4" spans="1:13" x14ac:dyDescent="0.35">
      <c r="A4" s="6" t="s">
        <v>13</v>
      </c>
    </row>
    <row r="5" spans="1:13" ht="6.75" customHeight="1" x14ac:dyDescent="0.35"/>
    <row r="6" spans="1:13" x14ac:dyDescent="0.35">
      <c r="A6" s="9"/>
      <c r="B6" s="11" t="s">
        <v>15</v>
      </c>
      <c r="L6" s="11" t="s">
        <v>15</v>
      </c>
    </row>
    <row r="7" spans="1:13" ht="17.25" customHeight="1" x14ac:dyDescent="0.35">
      <c r="A7" s="10" t="s">
        <v>5</v>
      </c>
    </row>
    <row r="8" spans="1:13" x14ac:dyDescent="0.35">
      <c r="A8" s="1" t="s">
        <v>101</v>
      </c>
    </row>
    <row r="9" spans="1:13" s="7" customFormat="1" x14ac:dyDescent="0.35">
      <c r="A9" s="12"/>
      <c r="B9" s="42" t="s">
        <v>23</v>
      </c>
      <c r="C9" s="42" t="s">
        <v>28</v>
      </c>
      <c r="D9" s="42" t="s">
        <v>33</v>
      </c>
      <c r="E9" s="42">
        <v>2011</v>
      </c>
      <c r="F9" s="42">
        <v>2012</v>
      </c>
      <c r="G9" s="42">
        <v>2013</v>
      </c>
      <c r="H9" s="42">
        <v>2014</v>
      </c>
      <c r="I9" s="42">
        <v>2015</v>
      </c>
      <c r="J9" s="42">
        <v>2016</v>
      </c>
      <c r="K9" s="42">
        <v>2017</v>
      </c>
      <c r="L9" s="42">
        <v>2018</v>
      </c>
    </row>
    <row r="10" spans="1:13" s="17" customFormat="1" x14ac:dyDescent="0.35">
      <c r="A10" s="16" t="s">
        <v>99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</row>
    <row r="11" spans="1:13" s="4" customFormat="1" ht="18" customHeight="1" x14ac:dyDescent="0.35">
      <c r="A11" s="16" t="s">
        <v>59</v>
      </c>
      <c r="B11" s="32">
        <v>351.8</v>
      </c>
      <c r="C11" s="32">
        <v>410.3</v>
      </c>
      <c r="D11" s="32">
        <v>466.8</v>
      </c>
      <c r="E11" s="32">
        <v>533.20000000000005</v>
      </c>
      <c r="F11" s="32">
        <v>516.6</v>
      </c>
      <c r="G11" s="32">
        <v>519.1</v>
      </c>
      <c r="H11" s="32">
        <v>564.79999999999995</v>
      </c>
      <c r="I11" s="32">
        <v>307.39999999999998</v>
      </c>
      <c r="J11" s="32">
        <v>1237.9000000000001</v>
      </c>
      <c r="K11" s="50" t="s">
        <v>16</v>
      </c>
      <c r="L11" s="50" t="s">
        <v>16</v>
      </c>
    </row>
    <row r="12" spans="1:13" s="5" customFormat="1" x14ac:dyDescent="0.35">
      <c r="A12" s="5" t="s">
        <v>60</v>
      </c>
      <c r="B12" s="30">
        <v>30.3</v>
      </c>
      <c r="C12" s="30">
        <v>-26</v>
      </c>
      <c r="D12" s="30">
        <v>-5.0999999999999996</v>
      </c>
      <c r="E12" s="30">
        <v>18.7</v>
      </c>
      <c r="F12" s="30">
        <v>38.200000000000003</v>
      </c>
      <c r="G12" s="30">
        <v>66.8</v>
      </c>
      <c r="H12" s="30">
        <v>82.2</v>
      </c>
      <c r="I12" s="30">
        <v>326.89999999999998</v>
      </c>
      <c r="J12" s="30">
        <v>-189.3</v>
      </c>
      <c r="K12" s="51" t="s">
        <v>16</v>
      </c>
      <c r="L12" s="51" t="s">
        <v>16</v>
      </c>
    </row>
    <row r="13" spans="1:13" s="5" customFormat="1" x14ac:dyDescent="0.35">
      <c r="A13" s="5" t="s">
        <v>61</v>
      </c>
      <c r="B13" s="30">
        <v>20.5</v>
      </c>
      <c r="C13" s="30">
        <v>-8.4</v>
      </c>
      <c r="D13" s="30">
        <v>3.4</v>
      </c>
      <c r="E13" s="30">
        <v>7.6</v>
      </c>
      <c r="F13" s="30">
        <v>25.2</v>
      </c>
      <c r="G13" s="30">
        <v>56.3</v>
      </c>
      <c r="H13" s="30">
        <v>101.2</v>
      </c>
      <c r="I13" s="30">
        <v>344.1</v>
      </c>
      <c r="J13" s="30">
        <v>-31.9</v>
      </c>
      <c r="K13" s="51" t="s">
        <v>16</v>
      </c>
      <c r="L13" s="51" t="s">
        <v>16</v>
      </c>
    </row>
    <row r="14" spans="1:13" s="4" customFormat="1" x14ac:dyDescent="0.35">
      <c r="A14" s="4" t="s">
        <v>62</v>
      </c>
      <c r="B14" s="32">
        <v>390.6</v>
      </c>
      <c r="C14" s="32">
        <v>376</v>
      </c>
      <c r="D14" s="32">
        <v>465.1</v>
      </c>
      <c r="E14" s="32">
        <v>559.5</v>
      </c>
      <c r="F14" s="32">
        <v>580.1</v>
      </c>
      <c r="G14" s="32">
        <v>642.1</v>
      </c>
      <c r="H14" s="32">
        <v>748.2</v>
      </c>
      <c r="I14" s="32">
        <v>978.5</v>
      </c>
      <c r="J14" s="32">
        <v>1016.6</v>
      </c>
      <c r="K14" s="32">
        <v>1069.2065251700001</v>
      </c>
      <c r="L14" s="32">
        <v>977.86099999999999</v>
      </c>
      <c r="M14" s="41"/>
    </row>
    <row r="15" spans="1:13" s="5" customFormat="1" x14ac:dyDescent="0.35">
      <c r="A15" s="38" t="s">
        <v>63</v>
      </c>
      <c r="B15" s="30">
        <v>356.9</v>
      </c>
      <c r="C15" s="30">
        <v>348.3</v>
      </c>
      <c r="D15" s="30">
        <v>421.5</v>
      </c>
      <c r="E15" s="30">
        <v>508.8</v>
      </c>
      <c r="F15" s="30">
        <v>494.2</v>
      </c>
      <c r="G15" s="30">
        <v>555.6</v>
      </c>
      <c r="H15" s="30">
        <v>639.70000000000005</v>
      </c>
      <c r="I15" s="30">
        <v>782.7</v>
      </c>
      <c r="J15" s="30">
        <v>847.6</v>
      </c>
      <c r="K15" s="30">
        <v>843.43967193564617</v>
      </c>
      <c r="L15" s="30">
        <v>768.67700000000002</v>
      </c>
      <c r="M15" s="41"/>
    </row>
    <row r="16" spans="1:13" s="5" customFormat="1" x14ac:dyDescent="0.35">
      <c r="A16" s="38" t="s">
        <v>64</v>
      </c>
      <c r="B16" s="30">
        <v>29</v>
      </c>
      <c r="C16" s="30">
        <v>27.7</v>
      </c>
      <c r="D16" s="30">
        <v>43.6</v>
      </c>
      <c r="E16" s="30">
        <v>50.7</v>
      </c>
      <c r="F16" s="30">
        <v>85.9</v>
      </c>
      <c r="G16" s="30">
        <v>86.6</v>
      </c>
      <c r="H16" s="30">
        <v>108.5</v>
      </c>
      <c r="I16" s="30">
        <v>195.8</v>
      </c>
      <c r="J16" s="30">
        <v>169.1</v>
      </c>
      <c r="K16" s="30">
        <v>225.76685323435396</v>
      </c>
      <c r="L16" s="30">
        <v>209.184</v>
      </c>
    </row>
    <row r="17" spans="1:12" s="4" customFormat="1" x14ac:dyDescent="0.35">
      <c r="A17" s="4" t="s">
        <v>65</v>
      </c>
      <c r="B17" s="32">
        <v>-79.8</v>
      </c>
      <c r="C17" s="32">
        <v>-53.1</v>
      </c>
      <c r="D17" s="32">
        <v>-44.4</v>
      </c>
      <c r="E17" s="32">
        <v>-53.8</v>
      </c>
      <c r="F17" s="32">
        <v>-110.8</v>
      </c>
      <c r="G17" s="32">
        <v>-92.8</v>
      </c>
      <c r="H17" s="32">
        <v>-100.8</v>
      </c>
      <c r="I17" s="32">
        <v>-218.7</v>
      </c>
      <c r="J17" s="32">
        <v>-208.6</v>
      </c>
      <c r="K17" s="32">
        <v>-220.22321385999999</v>
      </c>
      <c r="L17" s="32">
        <v>-118.211</v>
      </c>
    </row>
    <row r="18" spans="1:12" s="4" customFormat="1" x14ac:dyDescent="0.35">
      <c r="A18" s="4" t="s">
        <v>66</v>
      </c>
      <c r="B18" s="32">
        <v>310.8</v>
      </c>
      <c r="C18" s="32">
        <v>322.8</v>
      </c>
      <c r="D18" s="32">
        <v>420.6</v>
      </c>
      <c r="E18" s="32">
        <v>505.7</v>
      </c>
      <c r="F18" s="32">
        <v>469.2</v>
      </c>
      <c r="G18" s="32">
        <v>549.29999999999995</v>
      </c>
      <c r="H18" s="32">
        <v>647.4</v>
      </c>
      <c r="I18" s="32">
        <v>759.8</v>
      </c>
      <c r="J18" s="32">
        <v>808</v>
      </c>
      <c r="K18" s="32">
        <v>848.98331131000009</v>
      </c>
      <c r="L18" s="32">
        <v>859.65</v>
      </c>
    </row>
    <row r="19" spans="1:12" s="4" customFormat="1" x14ac:dyDescent="0.35">
      <c r="A19" s="4" t="s">
        <v>67</v>
      </c>
      <c r="B19" s="32">
        <v>43.1</v>
      </c>
      <c r="C19" s="32">
        <v>59.7</v>
      </c>
      <c r="D19" s="32">
        <v>108.1</v>
      </c>
      <c r="E19" s="32">
        <v>125.4</v>
      </c>
      <c r="F19" s="32">
        <v>137.4</v>
      </c>
      <c r="G19" s="32">
        <v>156.9</v>
      </c>
      <c r="H19" s="32">
        <v>177</v>
      </c>
      <c r="I19" s="32">
        <v>199.1</v>
      </c>
      <c r="J19" s="32">
        <v>256.60000000000002</v>
      </c>
      <c r="K19" s="32">
        <v>306.87299999999999</v>
      </c>
      <c r="L19" s="32">
        <v>361.072</v>
      </c>
    </row>
    <row r="20" spans="1:12" s="4" customFormat="1" x14ac:dyDescent="0.35">
      <c r="A20" s="4" t="s">
        <v>68</v>
      </c>
      <c r="B20" s="32">
        <v>-114.9</v>
      </c>
      <c r="C20" s="32">
        <v>-132.5</v>
      </c>
      <c r="D20" s="32">
        <v>-183.9</v>
      </c>
      <c r="E20" s="32">
        <v>-188.9</v>
      </c>
      <c r="F20" s="32">
        <v>-202.1</v>
      </c>
      <c r="G20" s="32">
        <v>-219.3</v>
      </c>
      <c r="H20" s="32">
        <v>-238.7</v>
      </c>
      <c r="I20" s="32">
        <v>-268.5</v>
      </c>
      <c r="J20" s="32">
        <v>-288.46699999999998</v>
      </c>
      <c r="K20" s="32">
        <v>-308.73599999999999</v>
      </c>
      <c r="L20" s="32">
        <v>-308.24400000000003</v>
      </c>
    </row>
    <row r="21" spans="1:12" s="5" customFormat="1" x14ac:dyDescent="0.35">
      <c r="A21" s="5" t="s">
        <v>69</v>
      </c>
      <c r="B21" s="30">
        <v>-127.8</v>
      </c>
      <c r="C21" s="30">
        <v>-133.1</v>
      </c>
      <c r="D21" s="30">
        <v>-183.9</v>
      </c>
      <c r="E21" s="30">
        <v>-188.9</v>
      </c>
      <c r="F21" s="30">
        <v>-202.1</v>
      </c>
      <c r="G21" s="30">
        <v>-219.3</v>
      </c>
      <c r="H21" s="30">
        <v>-238.7</v>
      </c>
      <c r="I21" s="30">
        <v>-268.5</v>
      </c>
      <c r="J21" s="30">
        <v>-288.46699999999998</v>
      </c>
      <c r="K21" s="30">
        <v>-308.73599999999999</v>
      </c>
      <c r="L21" s="32">
        <v>-308.24400000000003</v>
      </c>
    </row>
    <row r="22" spans="1:12" s="5" customFormat="1" x14ac:dyDescent="0.35">
      <c r="A22" s="5" t="s">
        <v>70</v>
      </c>
      <c r="B22" s="30">
        <v>11.9</v>
      </c>
      <c r="C22" s="30" t="s">
        <v>16</v>
      </c>
      <c r="D22" s="30" t="s">
        <v>16</v>
      </c>
      <c r="E22" s="30" t="s">
        <v>16</v>
      </c>
      <c r="F22" s="30" t="s">
        <v>16</v>
      </c>
      <c r="G22" s="30" t="s">
        <v>16</v>
      </c>
      <c r="H22" s="30" t="s">
        <v>16</v>
      </c>
      <c r="I22" s="30" t="s">
        <v>16</v>
      </c>
      <c r="J22" s="30">
        <v>0</v>
      </c>
      <c r="K22" s="30">
        <v>0</v>
      </c>
      <c r="L22" s="30">
        <v>0</v>
      </c>
    </row>
    <row r="23" spans="1:12" s="5" customFormat="1" x14ac:dyDescent="0.35">
      <c r="A23" s="5" t="s">
        <v>71</v>
      </c>
      <c r="B23" s="30">
        <v>1.1000000000000001</v>
      </c>
      <c r="C23" s="30">
        <v>0.7</v>
      </c>
      <c r="D23" s="30" t="s">
        <v>16</v>
      </c>
      <c r="E23" s="30" t="s">
        <v>16</v>
      </c>
      <c r="F23" s="30" t="s">
        <v>16</v>
      </c>
      <c r="G23" s="30" t="s">
        <v>16</v>
      </c>
      <c r="H23" s="30" t="s">
        <v>16</v>
      </c>
      <c r="I23" s="30" t="s">
        <v>16</v>
      </c>
      <c r="J23" s="30">
        <v>0</v>
      </c>
      <c r="K23" s="30">
        <v>0</v>
      </c>
      <c r="L23" s="30">
        <v>0</v>
      </c>
    </row>
    <row r="24" spans="1:12" s="4" customFormat="1" x14ac:dyDescent="0.35">
      <c r="A24" s="4" t="s">
        <v>72</v>
      </c>
      <c r="B24" s="32">
        <v>-2.9</v>
      </c>
      <c r="C24" s="32">
        <v>-5.2</v>
      </c>
      <c r="D24" s="32">
        <v>-34.200000000000003</v>
      </c>
      <c r="E24" s="32">
        <v>-30.5</v>
      </c>
      <c r="F24" s="32">
        <v>-30.5</v>
      </c>
      <c r="G24" s="32">
        <v>-41.4</v>
      </c>
      <c r="H24" s="32">
        <v>-40.1</v>
      </c>
      <c r="I24" s="32">
        <v>-57.5</v>
      </c>
      <c r="J24" s="32">
        <v>-37.299999999999997</v>
      </c>
      <c r="K24" s="32">
        <v>-69.514007586988342</v>
      </c>
      <c r="L24" s="32">
        <v>-78.37</v>
      </c>
    </row>
    <row r="25" spans="1:12" s="4" customFormat="1" x14ac:dyDescent="0.35">
      <c r="A25" s="4" t="s">
        <v>73</v>
      </c>
      <c r="B25" s="32">
        <v>-22.5</v>
      </c>
      <c r="C25" s="32">
        <v>-40</v>
      </c>
      <c r="D25" s="32">
        <v>7</v>
      </c>
      <c r="E25" s="32">
        <v>-0.4</v>
      </c>
      <c r="F25" s="32">
        <v>6</v>
      </c>
      <c r="G25" s="32">
        <v>-0.7</v>
      </c>
      <c r="H25" s="32">
        <v>-10.7</v>
      </c>
      <c r="I25" s="32">
        <v>-29</v>
      </c>
      <c r="J25" s="32">
        <v>-14.5</v>
      </c>
      <c r="K25" s="32">
        <v>13.646999999999998</v>
      </c>
      <c r="L25" s="32">
        <v>-3.3580000000000001</v>
      </c>
    </row>
    <row r="26" spans="1:12" s="5" customFormat="1" x14ac:dyDescent="0.35">
      <c r="A26" s="5" t="s">
        <v>74</v>
      </c>
      <c r="B26" s="30">
        <v>7.8</v>
      </c>
      <c r="C26" s="30">
        <v>-46.6</v>
      </c>
      <c r="D26" s="30">
        <v>1.9</v>
      </c>
      <c r="E26" s="30">
        <v>18.3</v>
      </c>
      <c r="F26" s="30">
        <v>44.3</v>
      </c>
      <c r="G26" s="30">
        <v>66.099999999999994</v>
      </c>
      <c r="H26" s="30">
        <v>71.599999999999994</v>
      </c>
      <c r="I26" s="30">
        <v>297.89999999999998</v>
      </c>
      <c r="J26" s="30">
        <v>-203.8</v>
      </c>
      <c r="K26" s="30">
        <v>13.646999999999998</v>
      </c>
      <c r="L26" s="32">
        <v>-3.3580000000000001</v>
      </c>
    </row>
    <row r="27" spans="1:12" s="5" customFormat="1" x14ac:dyDescent="0.35">
      <c r="A27" s="5" t="s">
        <v>75</v>
      </c>
      <c r="B27" s="30">
        <v>-30.3</v>
      </c>
      <c r="C27" s="30">
        <v>26</v>
      </c>
      <c r="D27" s="30">
        <v>5.0999999999999996</v>
      </c>
      <c r="E27" s="30">
        <v>-18.7</v>
      </c>
      <c r="F27" s="30">
        <v>-38.200000000000003</v>
      </c>
      <c r="G27" s="30">
        <v>-66.8</v>
      </c>
      <c r="H27" s="30">
        <v>-82.2</v>
      </c>
      <c r="I27" s="30">
        <v>-326.89999999999998</v>
      </c>
      <c r="J27" s="30">
        <v>189.3</v>
      </c>
      <c r="K27" s="30">
        <v>0</v>
      </c>
      <c r="L27" s="30">
        <v>0</v>
      </c>
    </row>
    <row r="28" spans="1:12" s="5" customFormat="1" x14ac:dyDescent="0.35">
      <c r="A28" s="5" t="s">
        <v>76</v>
      </c>
      <c r="B28" s="30" t="s">
        <v>16</v>
      </c>
      <c r="C28" s="30" t="s">
        <v>16</v>
      </c>
      <c r="D28" s="30" t="s">
        <v>16</v>
      </c>
      <c r="E28" s="30"/>
      <c r="F28" s="30"/>
      <c r="G28" s="30"/>
      <c r="H28" s="30"/>
      <c r="I28" s="30"/>
      <c r="J28" s="30"/>
      <c r="K28" s="30">
        <v>0</v>
      </c>
      <c r="L28" s="30">
        <v>0</v>
      </c>
    </row>
    <row r="29" spans="1:12" s="4" customFormat="1" x14ac:dyDescent="0.35">
      <c r="A29" s="4" t="s">
        <v>77</v>
      </c>
      <c r="B29" s="32">
        <v>1.2</v>
      </c>
      <c r="C29" s="32">
        <v>-3.3</v>
      </c>
      <c r="D29" s="32">
        <v>-2.4</v>
      </c>
      <c r="E29" s="32">
        <v>-5.9</v>
      </c>
      <c r="F29" s="32">
        <v>-6.6</v>
      </c>
      <c r="G29" s="32">
        <v>-1.8</v>
      </c>
      <c r="H29" s="32">
        <v>-2.2999999999999998</v>
      </c>
      <c r="I29" s="32">
        <v>-6.2</v>
      </c>
      <c r="J29" s="32">
        <v>-12.2</v>
      </c>
      <c r="K29" s="32">
        <v>-36.896000000000001</v>
      </c>
      <c r="L29" s="32">
        <v>-21.411000000000001</v>
      </c>
    </row>
    <row r="30" spans="1:12" s="4" customFormat="1" x14ac:dyDescent="0.35">
      <c r="A30" s="4" t="s">
        <v>78</v>
      </c>
      <c r="B30" s="32">
        <v>217.8</v>
      </c>
      <c r="C30" s="32">
        <v>206.7</v>
      </c>
      <c r="D30" s="32">
        <v>349.4</v>
      </c>
      <c r="E30" s="32">
        <v>407</v>
      </c>
      <c r="F30" s="32">
        <v>365.5</v>
      </c>
      <c r="G30" s="32">
        <v>443.1</v>
      </c>
      <c r="H30" s="32">
        <v>532.70000000000005</v>
      </c>
      <c r="I30" s="32">
        <v>597.6</v>
      </c>
      <c r="J30" s="32">
        <v>712.10187156711174</v>
      </c>
      <c r="K30" s="32">
        <v>754.454303723012</v>
      </c>
      <c r="L30" s="32">
        <v>809.33899999999994</v>
      </c>
    </row>
    <row r="31" spans="1:12" s="4" customFormat="1" x14ac:dyDescent="0.35">
      <c r="A31" s="4" t="s">
        <v>79</v>
      </c>
      <c r="B31" s="32">
        <v>-13.4</v>
      </c>
      <c r="C31" s="32">
        <v>-21.2</v>
      </c>
      <c r="D31" s="32">
        <v>-78.7</v>
      </c>
      <c r="E31" s="32">
        <v>-103.1</v>
      </c>
      <c r="F31" s="32">
        <v>-86.4</v>
      </c>
      <c r="G31" s="32">
        <v>-97.6</v>
      </c>
      <c r="H31" s="32">
        <v>-131.1</v>
      </c>
      <c r="I31" s="32">
        <v>-125.5</v>
      </c>
      <c r="J31" s="32">
        <v>-193.71287156711188</v>
      </c>
      <c r="K31" s="32">
        <v>-196.51130372301168</v>
      </c>
      <c r="L31" s="32">
        <v>-192.97499999999999</v>
      </c>
    </row>
    <row r="32" spans="1:12" s="5" customFormat="1" x14ac:dyDescent="0.35">
      <c r="A32" s="5" t="s">
        <v>80</v>
      </c>
      <c r="B32" s="30">
        <v>-1.1000000000000001</v>
      </c>
      <c r="C32" s="30">
        <v>-0.7</v>
      </c>
      <c r="D32" s="30">
        <v>-3.4</v>
      </c>
      <c r="E32" s="30">
        <v>-26.3</v>
      </c>
      <c r="F32" s="30">
        <v>-27.5</v>
      </c>
      <c r="G32" s="30">
        <v>-41.3</v>
      </c>
      <c r="H32" s="30">
        <v>-29.9</v>
      </c>
      <c r="I32" s="30">
        <v>199.1</v>
      </c>
      <c r="J32" s="30">
        <v>-200</v>
      </c>
      <c r="K32" s="43">
        <v>-17.970000000000002</v>
      </c>
      <c r="L32" s="30">
        <v>0</v>
      </c>
    </row>
    <row r="33" spans="1:12" s="5" customFormat="1" x14ac:dyDescent="0.35">
      <c r="A33" s="5" t="s">
        <v>81</v>
      </c>
      <c r="B33" s="30">
        <v>-20.5</v>
      </c>
      <c r="C33" s="30">
        <v>8.4</v>
      </c>
      <c r="D33" s="30" t="s">
        <v>16</v>
      </c>
      <c r="E33" s="30">
        <v>-7.6</v>
      </c>
      <c r="F33" s="30">
        <v>-25.2</v>
      </c>
      <c r="G33" s="30">
        <v>-56.3</v>
      </c>
      <c r="H33" s="30">
        <v>-101.2</v>
      </c>
      <c r="I33" s="30">
        <v>-324.60000000000002</v>
      </c>
      <c r="J33" s="30">
        <v>6.5</v>
      </c>
      <c r="K33" s="30">
        <v>-176.69830372301166</v>
      </c>
      <c r="L33" s="30">
        <v>0</v>
      </c>
    </row>
    <row r="34" spans="1:12" s="5" customFormat="1" x14ac:dyDescent="0.35">
      <c r="A34" s="5" t="s">
        <v>82</v>
      </c>
      <c r="B34" s="30" t="s">
        <v>16</v>
      </c>
      <c r="C34" s="30">
        <v>-9.1999999999999993</v>
      </c>
      <c r="D34" s="30" t="s">
        <v>16</v>
      </c>
      <c r="E34" s="30" t="s">
        <v>16</v>
      </c>
      <c r="F34" s="30" t="s">
        <v>16</v>
      </c>
      <c r="G34" s="30" t="s">
        <v>16</v>
      </c>
      <c r="H34" s="30" t="s">
        <v>16</v>
      </c>
      <c r="I34" s="30" t="s">
        <v>16</v>
      </c>
      <c r="J34" s="30">
        <v>0</v>
      </c>
      <c r="K34" s="30">
        <v>0</v>
      </c>
      <c r="L34" s="30">
        <v>0</v>
      </c>
    </row>
    <row r="35" spans="1:12" s="4" customFormat="1" x14ac:dyDescent="0.35">
      <c r="A35" s="4" t="s">
        <v>83</v>
      </c>
      <c r="B35" s="32">
        <v>-45.1</v>
      </c>
      <c r="C35" s="32">
        <v>-42.1</v>
      </c>
      <c r="D35" s="32">
        <v>-65.099999999999994</v>
      </c>
      <c r="E35" s="32">
        <v>-69.400000000000006</v>
      </c>
      <c r="F35" s="32">
        <v>-52.5</v>
      </c>
      <c r="G35" s="32">
        <v>-82.1</v>
      </c>
      <c r="H35" s="32">
        <v>-91</v>
      </c>
      <c r="I35" s="32">
        <v>-101.2</v>
      </c>
      <c r="J35" s="32">
        <v>-107.4</v>
      </c>
      <c r="K35" s="32">
        <v>-124.889</v>
      </c>
      <c r="L35" s="32">
        <v>-158.607</v>
      </c>
    </row>
    <row r="36" spans="1:12" s="5" customFormat="1" x14ac:dyDescent="0.35">
      <c r="A36" s="27" t="s">
        <v>112</v>
      </c>
      <c r="B36" s="28">
        <v>137.80000000000001</v>
      </c>
      <c r="C36" s="28">
        <v>151.19999999999999</v>
      </c>
      <c r="D36" s="28">
        <v>202.2</v>
      </c>
      <c r="E36" s="28">
        <v>236</v>
      </c>
      <c r="F36" s="28">
        <v>226.6</v>
      </c>
      <c r="G36" s="28">
        <v>263.39999999999998</v>
      </c>
      <c r="H36" s="28">
        <v>310.60000000000002</v>
      </c>
      <c r="I36" s="28">
        <v>370.9</v>
      </c>
      <c r="J36" s="28">
        <v>411</v>
      </c>
      <c r="K36" s="28">
        <v>433.04399999999998</v>
      </c>
      <c r="L36" s="28">
        <v>457.75699999999995</v>
      </c>
    </row>
    <row r="37" spans="1:12" s="5" customFormat="1" x14ac:dyDescent="0.35">
      <c r="A37" s="5" t="s">
        <v>84</v>
      </c>
      <c r="B37" s="30" t="s">
        <v>16</v>
      </c>
      <c r="C37" s="30" t="s">
        <v>16</v>
      </c>
      <c r="D37" s="30" t="s">
        <v>16</v>
      </c>
      <c r="E37" s="30" t="s">
        <v>16</v>
      </c>
      <c r="F37" s="30" t="s">
        <v>16</v>
      </c>
      <c r="G37" s="30" t="s">
        <v>16</v>
      </c>
      <c r="H37" s="30" t="s">
        <v>16</v>
      </c>
      <c r="I37" s="30" t="s">
        <v>16</v>
      </c>
      <c r="J37" s="30">
        <v>0</v>
      </c>
      <c r="K37" s="30">
        <v>0</v>
      </c>
      <c r="L37" s="30"/>
    </row>
    <row r="38" spans="1:12" s="5" customFormat="1" x14ac:dyDescent="0.35">
      <c r="A38" s="5" t="s">
        <v>85</v>
      </c>
      <c r="B38" s="30" t="s">
        <v>16</v>
      </c>
      <c r="C38" s="30" t="s">
        <v>16</v>
      </c>
      <c r="D38" s="30" t="s">
        <v>16</v>
      </c>
      <c r="E38" s="30" t="s">
        <v>16</v>
      </c>
      <c r="F38" s="30" t="s">
        <v>16</v>
      </c>
      <c r="G38" s="30" t="s">
        <v>16</v>
      </c>
      <c r="H38" s="30" t="s">
        <v>16</v>
      </c>
      <c r="I38" s="30" t="s">
        <v>16</v>
      </c>
      <c r="J38" s="30">
        <v>0</v>
      </c>
      <c r="K38" s="30">
        <v>0</v>
      </c>
      <c r="L38" s="30"/>
    </row>
    <row r="39" spans="1:12" s="5" customFormat="1" x14ac:dyDescent="0.35">
      <c r="A39" s="5" t="s">
        <v>86</v>
      </c>
      <c r="B39" s="30" t="s">
        <v>16</v>
      </c>
      <c r="C39" s="30" t="s">
        <v>16</v>
      </c>
      <c r="D39" s="30" t="s">
        <v>16</v>
      </c>
      <c r="E39" s="30" t="s">
        <v>16</v>
      </c>
      <c r="F39" s="30" t="s">
        <v>16</v>
      </c>
      <c r="G39" s="30" t="s">
        <v>16</v>
      </c>
      <c r="H39" s="30" t="s">
        <v>16</v>
      </c>
      <c r="I39" s="30" t="s">
        <v>16</v>
      </c>
      <c r="J39" s="30">
        <v>0</v>
      </c>
      <c r="K39" s="30">
        <v>0</v>
      </c>
      <c r="L39" s="30"/>
    </row>
    <row r="40" spans="1:12" s="5" customFormat="1" x14ac:dyDescent="0.35">
      <c r="A40" s="5" t="s">
        <v>87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-4.4000000000000004</v>
      </c>
      <c r="K40" s="30">
        <v>-14.3</v>
      </c>
      <c r="L40" s="30">
        <v>-39.670999999999999</v>
      </c>
    </row>
    <row r="41" spans="1:12" s="5" customFormat="1" ht="15" thickBot="1" x14ac:dyDescent="0.4">
      <c r="A41" s="33" t="s">
        <v>113</v>
      </c>
      <c r="B41" s="34">
        <v>137.80000000000001</v>
      </c>
      <c r="C41" s="34">
        <v>142</v>
      </c>
      <c r="D41" s="34">
        <v>202.2</v>
      </c>
      <c r="E41" s="34">
        <v>236</v>
      </c>
      <c r="F41" s="34">
        <v>226.6</v>
      </c>
      <c r="G41" s="34">
        <v>263.39999999999998</v>
      </c>
      <c r="H41" s="34">
        <v>310.60000000000002</v>
      </c>
      <c r="I41" s="34">
        <v>371.8</v>
      </c>
      <c r="J41" s="34">
        <v>406.6</v>
      </c>
      <c r="K41" s="36">
        <v>418.74399999999997</v>
      </c>
      <c r="L41" s="36">
        <v>418.08599999999996</v>
      </c>
    </row>
    <row r="42" spans="1:12" s="5" customFormat="1" ht="15" thickTop="1" x14ac:dyDescent="0.35">
      <c r="A42" s="31"/>
      <c r="B42" s="32"/>
      <c r="C42" s="32"/>
      <c r="D42" s="32"/>
      <c r="E42" s="32"/>
      <c r="F42" s="32"/>
      <c r="G42" s="32"/>
      <c r="H42" s="32"/>
      <c r="I42" s="32"/>
      <c r="J42" s="32"/>
    </row>
    <row r="43" spans="1:12" s="5" customFormat="1" x14ac:dyDescent="0.35">
      <c r="B43" s="19"/>
      <c r="C43" s="19"/>
      <c r="D43" s="19"/>
      <c r="E43" s="19"/>
      <c r="F43" s="19"/>
      <c r="G43" s="19"/>
      <c r="H43" s="19"/>
      <c r="I43" s="19"/>
      <c r="J43" s="19"/>
    </row>
    <row r="44" spans="1:12" s="5" customFormat="1" x14ac:dyDescent="0.35">
      <c r="A44" s="3" t="s">
        <v>102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</row>
    <row r="45" spans="1:12" s="5" customFormat="1" x14ac:dyDescent="0.35">
      <c r="A45" s="5" t="s">
        <v>88</v>
      </c>
      <c r="B45" s="30">
        <v>22</v>
      </c>
      <c r="C45" s="30">
        <v>43.7</v>
      </c>
      <c r="D45" s="30">
        <v>69.8</v>
      </c>
      <c r="E45" s="30">
        <v>91</v>
      </c>
      <c r="F45" s="30">
        <v>104.2</v>
      </c>
      <c r="G45" s="30">
        <v>118.5</v>
      </c>
      <c r="H45" s="30">
        <v>130.9</v>
      </c>
      <c r="I45" s="30">
        <v>199.1</v>
      </c>
      <c r="J45" s="30">
        <v>199</v>
      </c>
      <c r="K45" s="30">
        <v>212.35400000000001</v>
      </c>
      <c r="L45" s="30">
        <v>224.93199999999999</v>
      </c>
    </row>
    <row r="46" spans="1:12" s="5" customFormat="1" x14ac:dyDescent="0.35">
      <c r="A46" s="5" t="s">
        <v>89</v>
      </c>
      <c r="B46" s="30">
        <v>4.4000000000000004</v>
      </c>
      <c r="C46" s="30">
        <v>1.5</v>
      </c>
      <c r="D46" s="30">
        <v>12.7</v>
      </c>
      <c r="E46" s="30">
        <v>9.1</v>
      </c>
      <c r="F46" s="30">
        <v>15</v>
      </c>
      <c r="G46" s="30">
        <v>14.5</v>
      </c>
      <c r="H46" s="30">
        <v>20.3</v>
      </c>
      <c r="I46" s="30">
        <v>21.3</v>
      </c>
      <c r="J46" s="30">
        <v>22.1</v>
      </c>
      <c r="K46" s="30">
        <v>56.82</v>
      </c>
      <c r="L46" s="30">
        <v>90.153000000000006</v>
      </c>
    </row>
    <row r="47" spans="1:12" s="5" customFormat="1" x14ac:dyDescent="0.35">
      <c r="A47" s="5" t="s">
        <v>90</v>
      </c>
      <c r="B47" s="30">
        <v>16.7</v>
      </c>
      <c r="C47" s="30">
        <v>14.5</v>
      </c>
      <c r="D47" s="30">
        <v>25.6</v>
      </c>
      <c r="E47" s="30">
        <v>19.8</v>
      </c>
      <c r="F47" s="30">
        <v>18.3</v>
      </c>
      <c r="G47" s="30">
        <v>24</v>
      </c>
      <c r="H47" s="30">
        <v>25.9</v>
      </c>
      <c r="I47" s="30">
        <v>27.3</v>
      </c>
      <c r="J47" s="30">
        <v>35.4</v>
      </c>
      <c r="K47" s="30">
        <v>37.731999999999999</v>
      </c>
      <c r="L47" s="30">
        <v>45.987000000000002</v>
      </c>
    </row>
    <row r="48" spans="1:12" s="4" customFormat="1" ht="15" thickBot="1" x14ac:dyDescent="0.4">
      <c r="A48" s="33" t="s">
        <v>93</v>
      </c>
      <c r="B48" s="34">
        <v>43.1</v>
      </c>
      <c r="C48" s="34">
        <v>59.7</v>
      </c>
      <c r="D48" s="34">
        <v>108.1</v>
      </c>
      <c r="E48" s="34">
        <v>119.9</v>
      </c>
      <c r="F48" s="34">
        <v>137.4</v>
      </c>
      <c r="G48" s="34">
        <v>156.9</v>
      </c>
      <c r="H48" s="34">
        <v>177</v>
      </c>
      <c r="I48" s="34">
        <v>150.5</v>
      </c>
      <c r="J48" s="34">
        <v>256.60000000000002</v>
      </c>
      <c r="K48" s="36">
        <v>306.90600000000006</v>
      </c>
      <c r="L48" s="36">
        <v>361.072</v>
      </c>
    </row>
    <row r="49" spans="1:12" s="4" customFormat="1" ht="15" thickTop="1" x14ac:dyDescent="0.3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</row>
    <row r="50" spans="1:12" s="5" customFormat="1" x14ac:dyDescent="0.3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</row>
    <row r="51" spans="1:12" s="5" customFormat="1" x14ac:dyDescent="0.35">
      <c r="A51" s="3" t="s">
        <v>103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</row>
    <row r="52" spans="1:12" s="5" customFormat="1" x14ac:dyDescent="0.35">
      <c r="A52" s="5" t="s">
        <v>91</v>
      </c>
      <c r="B52" s="30">
        <v>-68.5</v>
      </c>
      <c r="C52" s="30">
        <v>-77.900000000000006</v>
      </c>
      <c r="D52" s="30">
        <v>-92.1</v>
      </c>
      <c r="E52" s="30">
        <v>-109.9</v>
      </c>
      <c r="F52" s="30">
        <v>-130.6</v>
      </c>
      <c r="G52" s="30">
        <v>-140.9</v>
      </c>
      <c r="H52" s="30">
        <v>-152</v>
      </c>
      <c r="I52" s="30">
        <v>-174.8</v>
      </c>
      <c r="J52" s="30">
        <v>-191.9</v>
      </c>
      <c r="K52" s="30">
        <v>-201.86699999999999</v>
      </c>
      <c r="L52" s="30">
        <v>-195.33500000000001</v>
      </c>
    </row>
    <row r="53" spans="1:12" x14ac:dyDescent="0.35">
      <c r="A53" t="s">
        <v>92</v>
      </c>
      <c r="B53" s="46">
        <v>-47.4</v>
      </c>
      <c r="C53" s="46">
        <v>-55.2</v>
      </c>
      <c r="D53" s="46">
        <v>-57.7</v>
      </c>
      <c r="E53" s="46">
        <v>-65.5</v>
      </c>
      <c r="F53" s="46">
        <v>-71.5</v>
      </c>
      <c r="G53" s="46">
        <v>-78.400000000000006</v>
      </c>
      <c r="H53" s="46">
        <v>-86.7</v>
      </c>
      <c r="I53" s="46">
        <v>-93.7</v>
      </c>
      <c r="J53" s="46">
        <v>-104.6</v>
      </c>
      <c r="K53" s="46">
        <v>-106.76</v>
      </c>
      <c r="L53" s="30">
        <v>-112.90899999999999</v>
      </c>
    </row>
    <row r="54" spans="1:12" x14ac:dyDescent="0.35">
      <c r="A54" t="s">
        <v>83</v>
      </c>
      <c r="B54" s="46">
        <v>-45.1</v>
      </c>
      <c r="C54" s="46">
        <v>-42.1</v>
      </c>
      <c r="D54" s="46">
        <v>-65.099999999999994</v>
      </c>
      <c r="E54" s="46">
        <v>-68.3</v>
      </c>
      <c r="F54" s="46">
        <v>-52.5</v>
      </c>
      <c r="G54" s="46">
        <v>-82.1</v>
      </c>
      <c r="H54" s="46">
        <v>-91</v>
      </c>
      <c r="I54" s="46">
        <v>-101.2</v>
      </c>
      <c r="J54" s="46">
        <v>-107.4</v>
      </c>
      <c r="K54" s="46">
        <v>-124.899</v>
      </c>
      <c r="L54" s="30">
        <v>-158.607</v>
      </c>
    </row>
    <row r="55" spans="1:12" x14ac:dyDescent="0.35">
      <c r="A55" t="s">
        <v>72</v>
      </c>
      <c r="B55" s="46">
        <v>-2.9</v>
      </c>
      <c r="C55" s="46">
        <v>-5.2</v>
      </c>
      <c r="D55" s="46">
        <v>-34.200000000000003</v>
      </c>
      <c r="E55" s="46">
        <v>-30.5</v>
      </c>
      <c r="F55" s="46">
        <v>-38.5</v>
      </c>
      <c r="G55" s="46">
        <v>-41.4</v>
      </c>
      <c r="H55" s="46">
        <v>-40.1</v>
      </c>
      <c r="I55" s="46">
        <v>-57.5</v>
      </c>
      <c r="J55" s="46">
        <v>-37.299999999999997</v>
      </c>
      <c r="K55" s="46">
        <v>-69.559007586988344</v>
      </c>
      <c r="L55" s="30">
        <v>-78.37</v>
      </c>
    </row>
    <row r="56" spans="1:12" s="2" customFormat="1" ht="15" thickBot="1" x14ac:dyDescent="0.4">
      <c r="A56" s="33" t="s">
        <v>93</v>
      </c>
      <c r="B56" s="34">
        <v>-163.9</v>
      </c>
      <c r="C56" s="34">
        <v>-180.4</v>
      </c>
      <c r="D56" s="34">
        <v>-249.1</v>
      </c>
      <c r="E56" s="34">
        <v>-274.2</v>
      </c>
      <c r="F56" s="34">
        <v>-293</v>
      </c>
      <c r="G56" s="34">
        <v>-342.7</v>
      </c>
      <c r="H56" s="34">
        <v>-369.8</v>
      </c>
      <c r="I56" s="34">
        <v>-427.2</v>
      </c>
      <c r="J56" s="34">
        <v>-441.2</v>
      </c>
      <c r="K56" s="36">
        <v>-503.08500758698835</v>
      </c>
      <c r="L56" s="36">
        <f>SUM(L52:L55)</f>
        <v>-545.221</v>
      </c>
    </row>
    <row r="57" spans="1:12" s="4" customFormat="1" ht="15" thickTop="1" x14ac:dyDescent="0.35">
      <c r="A57" s="31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</row>
    <row r="58" spans="1:12" x14ac:dyDescent="0.35"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</row>
    <row r="59" spans="1:12" x14ac:dyDescent="0.35">
      <c r="A59" s="3" t="s">
        <v>104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</row>
    <row r="60" spans="1:12" x14ac:dyDescent="0.35">
      <c r="A60" t="s">
        <v>94</v>
      </c>
      <c r="B60" s="46">
        <v>390.6</v>
      </c>
      <c r="C60" s="46">
        <v>376</v>
      </c>
      <c r="D60" s="46">
        <v>465.1</v>
      </c>
      <c r="E60" s="46">
        <v>559.5</v>
      </c>
      <c r="F60" s="46">
        <v>580.1</v>
      </c>
      <c r="G60" s="46">
        <v>642.1</v>
      </c>
      <c r="H60" s="46">
        <v>748.2</v>
      </c>
      <c r="I60" s="46">
        <v>978.5</v>
      </c>
      <c r="J60" s="46">
        <v>1016.6</v>
      </c>
      <c r="K60" s="46">
        <v>1069.2065251700001</v>
      </c>
      <c r="L60" s="46">
        <v>977.86099999999999</v>
      </c>
    </row>
    <row r="61" spans="1:12" x14ac:dyDescent="0.35">
      <c r="A61" t="s">
        <v>65</v>
      </c>
      <c r="B61" s="46">
        <v>-79.8</v>
      </c>
      <c r="C61" s="46">
        <v>-53.1</v>
      </c>
      <c r="D61" s="46">
        <v>-44.4</v>
      </c>
      <c r="E61" s="46">
        <v>-53.8</v>
      </c>
      <c r="F61" s="46">
        <v>-110.8</v>
      </c>
      <c r="G61" s="46">
        <v>-92.8</v>
      </c>
      <c r="H61" s="46">
        <v>-100.8</v>
      </c>
      <c r="I61" s="46">
        <v>-218.7</v>
      </c>
      <c r="J61" s="46">
        <v>-208.6</v>
      </c>
      <c r="K61" s="46">
        <v>-220.22321385999999</v>
      </c>
      <c r="L61" s="46">
        <v>-118.211</v>
      </c>
    </row>
    <row r="62" spans="1:12" x14ac:dyDescent="0.35">
      <c r="A62" t="s">
        <v>95</v>
      </c>
      <c r="B62" s="46">
        <v>310.8</v>
      </c>
      <c r="C62" s="46">
        <v>322.8</v>
      </c>
      <c r="D62" s="46">
        <v>420.6</v>
      </c>
      <c r="E62" s="46">
        <v>505.7</v>
      </c>
      <c r="F62" s="46">
        <v>469.2</v>
      </c>
      <c r="G62" s="46">
        <v>549.29999999999995</v>
      </c>
      <c r="H62" s="46">
        <v>647.4</v>
      </c>
      <c r="I62" s="46">
        <v>759.8</v>
      </c>
      <c r="J62" s="46">
        <v>808</v>
      </c>
      <c r="K62" s="46">
        <v>848.98331131000009</v>
      </c>
      <c r="L62" s="46">
        <v>859.65</v>
      </c>
    </row>
    <row r="63" spans="1:12" x14ac:dyDescent="0.35">
      <c r="A63" t="s">
        <v>67</v>
      </c>
      <c r="B63" s="46">
        <v>43.1</v>
      </c>
      <c r="C63" s="46">
        <v>59.7</v>
      </c>
      <c r="D63" s="46">
        <v>108.1</v>
      </c>
      <c r="E63" s="46">
        <v>125.4</v>
      </c>
      <c r="F63" s="46">
        <v>137.4</v>
      </c>
      <c r="G63" s="46">
        <v>156.9</v>
      </c>
      <c r="H63" s="46">
        <v>177</v>
      </c>
      <c r="I63" s="46">
        <v>199.1</v>
      </c>
      <c r="J63" s="46">
        <v>256.60000000000002</v>
      </c>
      <c r="K63" s="46">
        <v>306.90600000000006</v>
      </c>
      <c r="L63" s="46">
        <v>361.072</v>
      </c>
    </row>
    <row r="64" spans="1:12" x14ac:dyDescent="0.35">
      <c r="A64" t="s">
        <v>96</v>
      </c>
      <c r="B64" s="46">
        <v>-114.9</v>
      </c>
      <c r="C64" s="46">
        <v>-132.5</v>
      </c>
      <c r="D64" s="46">
        <v>-183.9</v>
      </c>
      <c r="E64" s="46">
        <v>-188.9</v>
      </c>
      <c r="F64" s="46">
        <v>-202.1</v>
      </c>
      <c r="G64" s="46">
        <v>-219.3</v>
      </c>
      <c r="H64" s="46">
        <v>-238.7</v>
      </c>
      <c r="I64" s="46">
        <v>-268.5</v>
      </c>
      <c r="J64" s="46">
        <v>-296.5</v>
      </c>
      <c r="K64" s="46">
        <v>-308.62700000000001</v>
      </c>
      <c r="L64" s="46">
        <v>-308.24400000000003</v>
      </c>
    </row>
    <row r="65" spans="1:12" x14ac:dyDescent="0.35">
      <c r="A65" t="s">
        <v>97</v>
      </c>
      <c r="B65" s="46">
        <v>-2.9</v>
      </c>
      <c r="C65" s="46">
        <v>-5.2</v>
      </c>
      <c r="D65" s="46">
        <v>-34.200000000000003</v>
      </c>
      <c r="E65" s="46">
        <v>-30.5</v>
      </c>
      <c r="F65" s="46">
        <v>-30.5</v>
      </c>
      <c r="G65" s="46">
        <v>-41.4</v>
      </c>
      <c r="H65" s="46">
        <v>-40.1</v>
      </c>
      <c r="I65" s="46">
        <v>-57.5</v>
      </c>
      <c r="J65" s="46">
        <v>-37.299999999999997</v>
      </c>
      <c r="K65" s="46">
        <v>-69.559007586988344</v>
      </c>
      <c r="L65" s="46">
        <v>-78.37</v>
      </c>
    </row>
    <row r="66" spans="1:12" x14ac:dyDescent="0.35">
      <c r="A66" t="s">
        <v>73</v>
      </c>
      <c r="B66" s="46">
        <v>-22.5</v>
      </c>
      <c r="C66" s="46">
        <v>-40</v>
      </c>
      <c r="D66" s="46">
        <v>7</v>
      </c>
      <c r="E66" s="46">
        <v>-0.4</v>
      </c>
      <c r="F66" s="46">
        <v>6</v>
      </c>
      <c r="G66" s="46">
        <v>-0.7</v>
      </c>
      <c r="H66" s="46">
        <v>-10.7</v>
      </c>
      <c r="I66" s="46">
        <v>-29</v>
      </c>
      <c r="J66" s="46">
        <v>-14.5</v>
      </c>
      <c r="K66" s="46">
        <v>13.646999999999998</v>
      </c>
      <c r="L66" s="46">
        <v>-3.3580000000000001</v>
      </c>
    </row>
    <row r="67" spans="1:12" x14ac:dyDescent="0.35">
      <c r="A67" t="s">
        <v>77</v>
      </c>
      <c r="B67" s="46">
        <v>1.2</v>
      </c>
      <c r="C67" s="46">
        <v>-3.3</v>
      </c>
      <c r="D67" s="46">
        <v>-2.4</v>
      </c>
      <c r="E67" s="46">
        <v>-5.9</v>
      </c>
      <c r="F67" s="46">
        <v>-6.6</v>
      </c>
      <c r="G67" s="46">
        <v>-1.8</v>
      </c>
      <c r="H67" s="46">
        <v>-2.2999999999999998</v>
      </c>
      <c r="I67" s="46">
        <v>-6.2</v>
      </c>
      <c r="J67" s="46">
        <v>-12.2</v>
      </c>
      <c r="K67" s="46">
        <v>-36.896000000000001</v>
      </c>
      <c r="L67" s="46">
        <v>-21.411000000000001</v>
      </c>
    </row>
    <row r="68" spans="1:12" s="2" customFormat="1" ht="15" thickBot="1" x14ac:dyDescent="0.4">
      <c r="A68" s="33" t="s">
        <v>98</v>
      </c>
      <c r="B68" s="34">
        <v>217.8</v>
      </c>
      <c r="C68" s="34">
        <v>206.7</v>
      </c>
      <c r="D68" s="34">
        <v>349.4</v>
      </c>
      <c r="E68" s="34">
        <v>407</v>
      </c>
      <c r="F68" s="34">
        <v>365.5</v>
      </c>
      <c r="G68" s="34">
        <v>443.1</v>
      </c>
      <c r="H68" s="34">
        <v>532.70000000000005</v>
      </c>
      <c r="I68" s="34">
        <v>597.6</v>
      </c>
      <c r="J68" s="34">
        <v>704.1</v>
      </c>
      <c r="K68" s="36">
        <v>754.454303723012</v>
      </c>
      <c r="L68" s="36">
        <f>SUM(L60:L61,L63:L65,L65)</f>
        <v>755.73799999999994</v>
      </c>
    </row>
    <row r="69" spans="1:12" ht="15" thickTop="1" x14ac:dyDescent="0.35">
      <c r="B69" s="20"/>
      <c r="C69" s="20"/>
      <c r="D69" s="20"/>
      <c r="E69" s="20"/>
      <c r="F69" s="20"/>
      <c r="G69" s="20"/>
      <c r="H69" s="20"/>
      <c r="I69" s="20"/>
      <c r="J69" s="20"/>
    </row>
    <row r="70" spans="1:12" x14ac:dyDescent="0.35">
      <c r="A70" s="178"/>
      <c r="B70" s="20"/>
      <c r="C70" s="20"/>
      <c r="D70" s="20"/>
      <c r="E70" s="20"/>
      <c r="F70" s="20"/>
      <c r="G70" s="20"/>
      <c r="H70" s="20"/>
      <c r="I70" s="20"/>
      <c r="J70" s="20"/>
    </row>
    <row r="71" spans="1:12" ht="21" customHeight="1" x14ac:dyDescent="0.35">
      <c r="A71" s="178"/>
    </row>
  </sheetData>
  <mergeCells count="1">
    <mergeCell ref="A70:A71"/>
  </mergeCells>
  <hyperlinks>
    <hyperlink ref="B6" location="Índice!A1" display="Índice"/>
    <hyperlink ref="L6" location="Índice!A1" display="Índice"/>
  </hyperlinks>
  <pageMargins left="0.511811024" right="0.511811024" top="0.78740157499999996" bottom="0.78740157499999996" header="0.31496062000000002" footer="0.31496062000000002"/>
  <ignoredErrors>
    <ignoredError sqref="B9:D9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Z85"/>
  <sheetViews>
    <sheetView showGridLines="0" zoomScaleNormal="100" workbookViewId="0">
      <pane xSplit="1" ySplit="9" topLeftCell="F10" activePane="bottomRight" state="frozen"/>
      <selection activeCell="C8" sqref="C8"/>
      <selection pane="topRight" activeCell="C8" sqref="C8"/>
      <selection pane="bottomLeft" activeCell="C8" sqref="C8"/>
      <selection pane="bottomRight" activeCell="L8" sqref="L8"/>
    </sheetView>
  </sheetViews>
  <sheetFormatPr defaultColWidth="9.1796875" defaultRowHeight="16" x14ac:dyDescent="0.45"/>
  <cols>
    <col min="1" max="1" width="80.1796875" style="62" bestFit="1" customWidth="1"/>
    <col min="2" max="17" width="12" style="59" customWidth="1"/>
    <col min="18" max="18" width="13.26953125" style="59" bestFit="1" customWidth="1"/>
    <col min="19" max="19" width="11.54296875" style="59" bestFit="1" customWidth="1"/>
    <col min="20" max="16384" width="9.1796875" style="59"/>
  </cols>
  <sheetData>
    <row r="1" spans="1:25" ht="16.5" x14ac:dyDescent="0.45">
      <c r="A1" s="55"/>
    </row>
    <row r="2" spans="1:25" ht="16.5" x14ac:dyDescent="0.45">
      <c r="A2" s="92" t="s">
        <v>121</v>
      </c>
    </row>
    <row r="3" spans="1:25" ht="6.75" customHeight="1" x14ac:dyDescent="0.45">
      <c r="A3" s="91"/>
    </row>
    <row r="4" spans="1:25" ht="16.5" x14ac:dyDescent="0.45">
      <c r="A4" s="92" t="s">
        <v>13</v>
      </c>
    </row>
    <row r="5" spans="1:25" ht="6.75" customHeight="1" x14ac:dyDescent="0.45">
      <c r="A5" s="55"/>
    </row>
    <row r="6" spans="1:25" ht="16.5" x14ac:dyDescent="0.45">
      <c r="A6" s="93"/>
      <c r="B6" s="63" t="s">
        <v>15</v>
      </c>
      <c r="I6" s="62"/>
      <c r="J6" s="62"/>
      <c r="K6" s="62"/>
      <c r="L6" s="62"/>
      <c r="M6" s="63"/>
      <c r="N6" s="63"/>
      <c r="O6" s="62"/>
      <c r="P6" s="63"/>
      <c r="Q6" s="63" t="s">
        <v>15</v>
      </c>
    </row>
    <row r="7" spans="1:25" ht="17.25" customHeight="1" x14ac:dyDescent="0.45">
      <c r="A7" s="108" t="s">
        <v>389</v>
      </c>
    </row>
    <row r="8" spans="1:25" x14ac:dyDescent="0.45">
      <c r="A8" s="59" t="s">
        <v>212</v>
      </c>
    </row>
    <row r="9" spans="1:25" x14ac:dyDescent="0.45">
      <c r="A9" s="64"/>
      <c r="B9" s="65">
        <v>43891</v>
      </c>
      <c r="C9" s="65">
        <f>EDATE(B9,3)</f>
        <v>43983</v>
      </c>
      <c r="D9" s="65">
        <f t="shared" ref="D9:Y9" si="0">EDATE(C9,3)</f>
        <v>44075</v>
      </c>
      <c r="E9" s="65">
        <f t="shared" si="0"/>
        <v>44166</v>
      </c>
      <c r="F9" s="65">
        <f t="shared" si="0"/>
        <v>44256</v>
      </c>
      <c r="G9" s="65">
        <f t="shared" si="0"/>
        <v>44348</v>
      </c>
      <c r="H9" s="65">
        <f t="shared" si="0"/>
        <v>44440</v>
      </c>
      <c r="I9" s="65">
        <f t="shared" si="0"/>
        <v>44531</v>
      </c>
      <c r="J9" s="65">
        <f t="shared" si="0"/>
        <v>44621</v>
      </c>
      <c r="K9" s="65">
        <f t="shared" si="0"/>
        <v>44713</v>
      </c>
      <c r="L9" s="65">
        <f t="shared" si="0"/>
        <v>44805</v>
      </c>
      <c r="M9" s="65">
        <f t="shared" si="0"/>
        <v>44896</v>
      </c>
      <c r="N9" s="65">
        <f t="shared" si="0"/>
        <v>44986</v>
      </c>
      <c r="O9" s="65">
        <f t="shared" si="0"/>
        <v>45078</v>
      </c>
      <c r="P9" s="65">
        <f t="shared" si="0"/>
        <v>45170</v>
      </c>
      <c r="Q9" s="65">
        <f t="shared" si="0"/>
        <v>45261</v>
      </c>
      <c r="R9" s="65">
        <f t="shared" si="0"/>
        <v>45352</v>
      </c>
      <c r="S9" s="65">
        <f t="shared" si="0"/>
        <v>45444</v>
      </c>
      <c r="T9" s="65">
        <f t="shared" si="0"/>
        <v>45536</v>
      </c>
      <c r="U9" s="65">
        <f t="shared" si="0"/>
        <v>45627</v>
      </c>
      <c r="V9" s="65">
        <f t="shared" si="0"/>
        <v>45717</v>
      </c>
      <c r="W9" s="65">
        <f t="shared" si="0"/>
        <v>45809</v>
      </c>
      <c r="X9" s="65">
        <f t="shared" si="0"/>
        <v>45901</v>
      </c>
      <c r="Y9" s="65">
        <f t="shared" si="0"/>
        <v>45992</v>
      </c>
    </row>
    <row r="10" spans="1:25" x14ac:dyDescent="0.45">
      <c r="A10" s="109" t="s">
        <v>100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</row>
    <row r="11" spans="1:25" s="62" customFormat="1" x14ac:dyDescent="0.45">
      <c r="A11" s="111" t="s">
        <v>126</v>
      </c>
    </row>
    <row r="12" spans="1:25" s="62" customFormat="1" ht="18" customHeight="1" x14ac:dyDescent="0.45">
      <c r="A12" s="111" t="s">
        <v>17</v>
      </c>
    </row>
    <row r="13" spans="1:25" s="62" customFormat="1" x14ac:dyDescent="0.45">
      <c r="A13" s="62" t="s">
        <v>127</v>
      </c>
      <c r="B13" s="79">
        <v>322715</v>
      </c>
      <c r="C13" s="79">
        <v>399125</v>
      </c>
      <c r="D13" s="79">
        <v>389805</v>
      </c>
      <c r="E13" s="79">
        <v>443055</v>
      </c>
      <c r="F13" s="79">
        <v>456121</v>
      </c>
      <c r="G13" s="79">
        <v>494062</v>
      </c>
      <c r="H13" s="79">
        <v>444334</v>
      </c>
      <c r="I13" s="79">
        <v>480750</v>
      </c>
      <c r="J13" s="79">
        <v>497008</v>
      </c>
      <c r="K13" s="79">
        <v>513369</v>
      </c>
      <c r="L13" s="79">
        <v>541721</v>
      </c>
    </row>
    <row r="14" spans="1:25" s="62" customFormat="1" x14ac:dyDescent="0.45">
      <c r="A14" s="62" t="s">
        <v>128</v>
      </c>
      <c r="B14" s="79">
        <v>201079</v>
      </c>
      <c r="C14" s="79">
        <v>222429</v>
      </c>
      <c r="D14" s="79">
        <v>233045</v>
      </c>
      <c r="E14" s="79">
        <v>232987</v>
      </c>
      <c r="F14" s="79">
        <v>231896</v>
      </c>
      <c r="G14" s="79">
        <v>238444</v>
      </c>
      <c r="H14" s="79">
        <v>226583</v>
      </c>
      <c r="I14" s="79">
        <v>226084</v>
      </c>
      <c r="J14" s="79">
        <v>218273</v>
      </c>
      <c r="K14" s="79">
        <v>220749</v>
      </c>
      <c r="L14" s="79">
        <v>202442</v>
      </c>
    </row>
    <row r="15" spans="1:25" s="62" customFormat="1" x14ac:dyDescent="0.45">
      <c r="A15" s="62" t="s">
        <v>129</v>
      </c>
      <c r="B15" s="79">
        <f>1337291+4716523</f>
        <v>6053814</v>
      </c>
      <c r="C15" s="79">
        <v>6670779</v>
      </c>
      <c r="D15" s="79">
        <v>6962277</v>
      </c>
      <c r="E15" s="79">
        <v>7332208</v>
      </c>
      <c r="F15" s="79">
        <v>7172921</v>
      </c>
      <c r="G15" s="79">
        <v>7751725</v>
      </c>
      <c r="H15" s="79">
        <v>8165726</v>
      </c>
      <c r="I15" s="79">
        <v>8285956</v>
      </c>
      <c r="J15" s="79">
        <v>8620937</v>
      </c>
      <c r="K15" s="79">
        <v>9344320</v>
      </c>
      <c r="L15" s="79">
        <v>9447053</v>
      </c>
    </row>
    <row r="16" spans="1:25" s="114" customFormat="1" x14ac:dyDescent="0.45">
      <c r="A16" s="112" t="s">
        <v>130</v>
      </c>
      <c r="B16" s="79">
        <v>5781631</v>
      </c>
      <c r="C16" s="79">
        <v>6299816</v>
      </c>
      <c r="D16" s="79">
        <v>6377163</v>
      </c>
      <c r="E16" s="113">
        <v>6592087</v>
      </c>
      <c r="F16" s="79">
        <v>6517439</v>
      </c>
      <c r="G16" s="79">
        <v>6699458</v>
      </c>
      <c r="H16" s="79">
        <v>6918139</v>
      </c>
      <c r="I16" s="79">
        <v>7121824</v>
      </c>
      <c r="J16" s="79">
        <v>7452543</v>
      </c>
      <c r="K16" s="79">
        <v>8194160</v>
      </c>
      <c r="L16" s="79">
        <v>8454043</v>
      </c>
    </row>
    <row r="17" spans="1:12" s="114" customFormat="1" x14ac:dyDescent="0.45">
      <c r="A17" s="112" t="s">
        <v>131</v>
      </c>
      <c r="B17" s="79">
        <f>260979+10002</f>
        <v>270981</v>
      </c>
      <c r="C17" s="115">
        <f>246873+122876</f>
        <v>369749</v>
      </c>
      <c r="D17" s="115">
        <f>48265+535623</f>
        <v>583888</v>
      </c>
      <c r="E17" s="115">
        <v>738884</v>
      </c>
      <c r="F17" s="79">
        <v>654866</v>
      </c>
      <c r="G17" s="79">
        <v>1051642</v>
      </c>
      <c r="H17" s="79">
        <v>1246953</v>
      </c>
      <c r="I17" s="79">
        <v>1163488</v>
      </c>
      <c r="J17" s="79">
        <v>1167739</v>
      </c>
      <c r="K17" s="79">
        <v>1149492</v>
      </c>
      <c r="L17" s="79">
        <v>992328</v>
      </c>
    </row>
    <row r="18" spans="1:12" s="114" customFormat="1" x14ac:dyDescent="0.45">
      <c r="A18" s="116" t="s">
        <v>304</v>
      </c>
      <c r="B18" s="79">
        <v>1202</v>
      </c>
      <c r="C18" s="79">
        <v>1214</v>
      </c>
      <c r="D18" s="79">
        <v>1226</v>
      </c>
      <c r="E18" s="79">
        <v>1237</v>
      </c>
      <c r="F18" s="79">
        <v>616</v>
      </c>
      <c r="G18" s="79">
        <v>625</v>
      </c>
      <c r="H18" s="79">
        <v>634</v>
      </c>
      <c r="I18" s="79">
        <v>644</v>
      </c>
      <c r="J18" s="79">
        <v>655</v>
      </c>
      <c r="K18" s="79">
        <v>668</v>
      </c>
      <c r="L18" s="79">
        <v>682</v>
      </c>
    </row>
    <row r="19" spans="1:12" s="62" customFormat="1" x14ac:dyDescent="0.45">
      <c r="A19" s="62" t="s">
        <v>132</v>
      </c>
      <c r="B19" s="79">
        <v>0</v>
      </c>
      <c r="C19" s="79">
        <v>0</v>
      </c>
      <c r="D19" s="79">
        <v>0</v>
      </c>
      <c r="E19" s="79">
        <v>0</v>
      </c>
      <c r="F19" s="79">
        <v>0</v>
      </c>
      <c r="G19" s="117">
        <v>0</v>
      </c>
      <c r="H19" s="117">
        <v>0</v>
      </c>
      <c r="I19" s="117">
        <v>0</v>
      </c>
      <c r="J19" s="117">
        <v>0</v>
      </c>
      <c r="K19" s="79">
        <v>0</v>
      </c>
      <c r="L19" s="79">
        <v>0</v>
      </c>
    </row>
    <row r="20" spans="1:12" s="62" customFormat="1" x14ac:dyDescent="0.45">
      <c r="A20" s="62" t="s">
        <v>133</v>
      </c>
      <c r="B20" s="79">
        <v>96853</v>
      </c>
      <c r="C20" s="79">
        <v>116902</v>
      </c>
      <c r="D20" s="79">
        <v>26474</v>
      </c>
      <c r="E20" s="79">
        <v>26753</v>
      </c>
      <c r="F20" s="79">
        <v>67840</v>
      </c>
      <c r="G20" s="117">
        <v>198628</v>
      </c>
      <c r="H20" s="117">
        <v>229842</v>
      </c>
      <c r="I20" s="79">
        <v>235048</v>
      </c>
      <c r="J20" s="79">
        <v>188481</v>
      </c>
      <c r="K20" s="79">
        <v>195074</v>
      </c>
      <c r="L20" s="79">
        <v>139047</v>
      </c>
    </row>
    <row r="21" spans="1:12" s="62" customFormat="1" x14ac:dyDescent="0.45">
      <c r="A21" s="118" t="s">
        <v>371</v>
      </c>
      <c r="B21" s="79">
        <v>0</v>
      </c>
      <c r="C21" s="79">
        <v>0</v>
      </c>
      <c r="D21" s="79">
        <v>0</v>
      </c>
      <c r="E21" s="79">
        <v>0</v>
      </c>
      <c r="F21" s="79">
        <v>5083</v>
      </c>
      <c r="G21" s="79">
        <v>5367</v>
      </c>
      <c r="H21" s="79">
        <v>3131</v>
      </c>
      <c r="I21" s="79">
        <v>3176</v>
      </c>
      <c r="J21" s="79">
        <v>2892</v>
      </c>
      <c r="K21" s="79">
        <v>1007</v>
      </c>
      <c r="L21" s="79">
        <v>2377</v>
      </c>
    </row>
    <row r="22" spans="1:12" s="62" customFormat="1" x14ac:dyDescent="0.45">
      <c r="A22" s="62" t="s">
        <v>134</v>
      </c>
      <c r="G22" s="117"/>
      <c r="H22" s="117"/>
    </row>
    <row r="23" spans="1:12" s="62" customFormat="1" x14ac:dyDescent="0.45">
      <c r="A23" s="62" t="s">
        <v>135</v>
      </c>
      <c r="B23" s="79">
        <v>0</v>
      </c>
      <c r="C23" s="79">
        <v>0</v>
      </c>
      <c r="D23" s="79">
        <v>0</v>
      </c>
      <c r="E23" s="79">
        <v>0</v>
      </c>
      <c r="F23" s="79">
        <v>0</v>
      </c>
      <c r="G23" s="117">
        <v>0</v>
      </c>
      <c r="H23" s="117">
        <v>0</v>
      </c>
      <c r="I23" s="117">
        <v>0</v>
      </c>
      <c r="J23" s="117">
        <v>0</v>
      </c>
      <c r="K23" s="79">
        <v>0</v>
      </c>
      <c r="L23" s="79">
        <v>0</v>
      </c>
    </row>
    <row r="24" spans="1:12" s="62" customFormat="1" x14ac:dyDescent="0.45">
      <c r="A24" s="62" t="s">
        <v>136</v>
      </c>
      <c r="B24" s="79">
        <v>19434</v>
      </c>
      <c r="C24" s="79">
        <v>14128</v>
      </c>
      <c r="D24" s="79">
        <v>9091</v>
      </c>
      <c r="E24" s="79">
        <v>0</v>
      </c>
      <c r="F24" s="79">
        <v>0</v>
      </c>
      <c r="G24" s="117">
        <v>0</v>
      </c>
      <c r="H24" s="117">
        <v>0</v>
      </c>
      <c r="I24" s="117">
        <v>226402</v>
      </c>
      <c r="J24" s="79">
        <v>494650</v>
      </c>
      <c r="K24" s="79">
        <v>895902</v>
      </c>
      <c r="L24" s="79">
        <v>822843</v>
      </c>
    </row>
    <row r="25" spans="1:12" s="62" customFormat="1" x14ac:dyDescent="0.45">
      <c r="A25" s="62" t="s">
        <v>137</v>
      </c>
      <c r="B25" s="79">
        <v>0</v>
      </c>
      <c r="C25" s="79">
        <v>0</v>
      </c>
      <c r="D25" s="79">
        <v>0</v>
      </c>
      <c r="E25" s="79">
        <v>0</v>
      </c>
      <c r="F25" s="79">
        <v>0</v>
      </c>
      <c r="G25" s="117">
        <v>0</v>
      </c>
      <c r="H25" s="117">
        <v>0</v>
      </c>
      <c r="I25" s="117">
        <v>0</v>
      </c>
      <c r="J25" s="117">
        <v>0</v>
      </c>
      <c r="K25" s="79">
        <v>0</v>
      </c>
      <c r="L25" s="79">
        <v>0</v>
      </c>
    </row>
    <row r="26" spans="1:12" s="62" customFormat="1" x14ac:dyDescent="0.45">
      <c r="A26" s="62" t="s">
        <v>138</v>
      </c>
      <c r="B26" s="79">
        <v>0</v>
      </c>
      <c r="C26" s="79">
        <v>0</v>
      </c>
      <c r="D26" s="79">
        <v>0</v>
      </c>
      <c r="E26" s="79">
        <v>0</v>
      </c>
      <c r="F26" s="79">
        <v>0</v>
      </c>
      <c r="G26" s="117">
        <v>0</v>
      </c>
      <c r="H26" s="117">
        <v>0</v>
      </c>
      <c r="I26" s="117">
        <v>0</v>
      </c>
      <c r="J26" s="117">
        <v>0</v>
      </c>
      <c r="K26" s="79">
        <v>0</v>
      </c>
      <c r="L26" s="79">
        <v>0</v>
      </c>
    </row>
    <row r="27" spans="1:12" s="62" customFormat="1" x14ac:dyDescent="0.45">
      <c r="A27" s="62" t="s">
        <v>139</v>
      </c>
      <c r="G27" s="117"/>
      <c r="H27" s="117"/>
      <c r="I27" s="117"/>
    </row>
    <row r="28" spans="1:12" s="62" customFormat="1" x14ac:dyDescent="0.45">
      <c r="A28" s="62" t="s">
        <v>140</v>
      </c>
      <c r="B28" s="79">
        <v>716527</v>
      </c>
      <c r="C28" s="79">
        <v>741010</v>
      </c>
      <c r="D28" s="79">
        <v>0</v>
      </c>
      <c r="E28" s="79">
        <v>0</v>
      </c>
      <c r="F28" s="79">
        <v>0</v>
      </c>
      <c r="G28" s="117">
        <v>0</v>
      </c>
      <c r="H28" s="117">
        <v>0</v>
      </c>
      <c r="I28" s="117">
        <v>0</v>
      </c>
      <c r="J28" s="117">
        <v>0</v>
      </c>
      <c r="K28" s="79">
        <v>0</v>
      </c>
      <c r="L28" s="79">
        <v>0</v>
      </c>
    </row>
    <row r="29" spans="1:12" s="62" customFormat="1" x14ac:dyDescent="0.45">
      <c r="A29" s="119" t="s">
        <v>305</v>
      </c>
      <c r="B29" s="79">
        <v>0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</row>
    <row r="30" spans="1:12" s="114" customFormat="1" hidden="1" x14ac:dyDescent="0.45">
      <c r="A30" s="114" t="s">
        <v>141</v>
      </c>
      <c r="G30" s="117"/>
      <c r="J30" s="120"/>
      <c r="L30" s="176"/>
    </row>
    <row r="31" spans="1:12" s="62" customFormat="1" x14ac:dyDescent="0.45">
      <c r="A31" s="62" t="s">
        <v>142</v>
      </c>
      <c r="B31" s="79">
        <v>134716</v>
      </c>
      <c r="C31" s="79">
        <v>87456</v>
      </c>
      <c r="D31" s="79">
        <v>76329</v>
      </c>
      <c r="E31" s="79">
        <v>84374</v>
      </c>
      <c r="F31" s="79">
        <v>75350</v>
      </c>
      <c r="G31" s="117">
        <v>58480</v>
      </c>
      <c r="H31" s="117">
        <v>66776</v>
      </c>
      <c r="I31" s="79">
        <v>75854</v>
      </c>
      <c r="J31" s="79">
        <v>75136</v>
      </c>
      <c r="K31" s="79">
        <v>55478</v>
      </c>
      <c r="L31" s="79">
        <v>53023</v>
      </c>
    </row>
    <row r="32" spans="1:12" s="62" customFormat="1" x14ac:dyDescent="0.45">
      <c r="A32" s="62" t="s">
        <v>143</v>
      </c>
      <c r="B32" s="79">
        <v>16118</v>
      </c>
      <c r="C32" s="79">
        <v>15165</v>
      </c>
      <c r="D32" s="79">
        <v>10477</v>
      </c>
      <c r="E32" s="79">
        <v>4121</v>
      </c>
      <c r="F32" s="79">
        <v>4145</v>
      </c>
      <c r="G32" s="117">
        <v>4183</v>
      </c>
      <c r="H32" s="117">
        <v>4243</v>
      </c>
      <c r="I32" s="79">
        <v>3431</v>
      </c>
      <c r="J32" s="79">
        <v>28418</v>
      </c>
      <c r="K32" s="79">
        <v>62270</v>
      </c>
      <c r="L32" s="79">
        <v>64329</v>
      </c>
    </row>
    <row r="33" spans="1:26" s="62" customFormat="1" x14ac:dyDescent="0.45">
      <c r="A33" s="62" t="s">
        <v>144</v>
      </c>
      <c r="B33" s="79">
        <v>403856</v>
      </c>
      <c r="C33" s="79">
        <v>411858</v>
      </c>
      <c r="D33" s="79">
        <v>416881</v>
      </c>
      <c r="E33" s="79">
        <v>417256</v>
      </c>
      <c r="F33" s="79">
        <v>420406</v>
      </c>
      <c r="G33" s="117">
        <v>425760</v>
      </c>
      <c r="H33" s="117">
        <v>430548</v>
      </c>
      <c r="I33" s="79">
        <v>435283</v>
      </c>
      <c r="J33" s="79">
        <v>460769</v>
      </c>
      <c r="K33" s="79">
        <v>501733</v>
      </c>
      <c r="L33" s="79">
        <v>575359</v>
      </c>
    </row>
    <row r="34" spans="1:26" s="62" customFormat="1" x14ac:dyDescent="0.45">
      <c r="A34" s="62" t="s">
        <v>145</v>
      </c>
      <c r="B34" s="79">
        <v>3676</v>
      </c>
      <c r="C34" s="79">
        <v>2944</v>
      </c>
      <c r="D34" s="79">
        <v>0</v>
      </c>
      <c r="E34" s="79">
        <v>0</v>
      </c>
      <c r="F34" s="79">
        <v>5487</v>
      </c>
      <c r="G34" s="117">
        <v>15197</v>
      </c>
      <c r="H34" s="117">
        <v>2708</v>
      </c>
      <c r="I34" s="79">
        <v>12744</v>
      </c>
      <c r="J34" s="79">
        <v>12550</v>
      </c>
      <c r="K34" s="79">
        <v>8646</v>
      </c>
      <c r="L34" s="79">
        <v>8930</v>
      </c>
    </row>
    <row r="35" spans="1:26" s="114" customFormat="1" ht="16.5" thickBot="1" x14ac:dyDescent="0.5">
      <c r="A35" s="114" t="s">
        <v>146</v>
      </c>
      <c r="B35" s="79">
        <v>297751</v>
      </c>
      <c r="C35" s="79">
        <v>100903</v>
      </c>
      <c r="D35" s="79">
        <v>65902</v>
      </c>
      <c r="E35" s="79">
        <v>146853</v>
      </c>
      <c r="F35" s="79">
        <v>169896</v>
      </c>
      <c r="G35" s="117">
        <v>74108</v>
      </c>
      <c r="H35" s="117">
        <v>71416</v>
      </c>
      <c r="I35" s="79">
        <v>106216</v>
      </c>
      <c r="J35" s="79">
        <v>70020</v>
      </c>
      <c r="K35" s="79">
        <v>51357</v>
      </c>
      <c r="L35" s="79">
        <v>59371</v>
      </c>
    </row>
    <row r="36" spans="1:26" ht="16.5" thickBot="1" x14ac:dyDescent="0.5">
      <c r="A36" s="121" t="s">
        <v>93</v>
      </c>
      <c r="E36" s="62"/>
      <c r="L36" s="62"/>
    </row>
    <row r="37" spans="1:26" x14ac:dyDescent="0.45">
      <c r="B37" s="75"/>
      <c r="C37" s="75"/>
      <c r="D37" s="75"/>
      <c r="E37" s="79"/>
      <c r="F37" s="75"/>
      <c r="G37" s="75"/>
      <c r="H37" s="75"/>
      <c r="I37" s="75"/>
      <c r="J37" s="75"/>
      <c r="K37" s="75"/>
      <c r="L37" s="79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x14ac:dyDescent="0.45">
      <c r="A38" s="67" t="s">
        <v>203</v>
      </c>
      <c r="B38" s="75"/>
      <c r="C38" s="75"/>
      <c r="D38" s="75" t="s">
        <v>122</v>
      </c>
      <c r="E38" s="79" t="s">
        <v>122</v>
      </c>
      <c r="F38" s="75"/>
      <c r="G38" s="75"/>
      <c r="H38" s="75"/>
      <c r="I38" s="75"/>
      <c r="J38" s="75"/>
      <c r="K38" s="75"/>
      <c r="L38" s="79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s="114" customFormat="1" x14ac:dyDescent="0.45">
      <c r="A39" s="114" t="s">
        <v>197</v>
      </c>
      <c r="B39" s="113">
        <v>115167.61165000001</v>
      </c>
      <c r="C39" s="113">
        <v>116092.34654</v>
      </c>
      <c r="D39" s="113">
        <v>121031.56286000001</v>
      </c>
      <c r="E39" s="113">
        <v>88706.369180000009</v>
      </c>
      <c r="F39" s="113">
        <v>86037.611999999994</v>
      </c>
      <c r="G39" s="113">
        <v>79467.427469999995</v>
      </c>
      <c r="H39" s="113">
        <v>124346.09981</v>
      </c>
      <c r="I39" s="113">
        <v>148373.31119000001</v>
      </c>
      <c r="J39" s="113">
        <v>188131.45369999998</v>
      </c>
      <c r="K39" s="113">
        <v>315611.57127999997</v>
      </c>
      <c r="L39" s="113">
        <v>396467.40505</v>
      </c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</row>
    <row r="40" spans="1:26" s="114" customFormat="1" x14ac:dyDescent="0.45">
      <c r="A40" s="114" t="s">
        <v>198</v>
      </c>
      <c r="B40" s="113">
        <v>488004.10886000004</v>
      </c>
      <c r="C40" s="113">
        <v>532378.90140999993</v>
      </c>
      <c r="D40" s="113">
        <v>588955.24135999999</v>
      </c>
      <c r="E40" s="113">
        <v>559368.29949</v>
      </c>
      <c r="F40" s="113">
        <v>493001.96341000003</v>
      </c>
      <c r="G40" s="113">
        <v>508407.59841000004</v>
      </c>
      <c r="H40" s="113">
        <v>555584.50702999998</v>
      </c>
      <c r="I40" s="113">
        <v>681170.0344</v>
      </c>
      <c r="J40" s="113">
        <v>864957.9236000001</v>
      </c>
      <c r="K40" s="113">
        <v>980985.19178000011</v>
      </c>
      <c r="L40" s="113">
        <v>1007685.7162699999</v>
      </c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</row>
    <row r="41" spans="1:26" s="114" customFormat="1" x14ac:dyDescent="0.45">
      <c r="A41" s="114" t="s">
        <v>199</v>
      </c>
      <c r="B41" s="113">
        <v>703739.65266000014</v>
      </c>
      <c r="C41" s="113">
        <v>763711.82614999986</v>
      </c>
      <c r="D41" s="113">
        <v>846067.28824999998</v>
      </c>
      <c r="E41" s="113">
        <v>836918.64124999987</v>
      </c>
      <c r="F41" s="113">
        <v>759942.30637999997</v>
      </c>
      <c r="G41" s="113">
        <v>826832.02943</v>
      </c>
      <c r="H41" s="113">
        <v>873110.74173000024</v>
      </c>
      <c r="I41" s="113">
        <v>1002395.3206999998</v>
      </c>
      <c r="J41" s="113">
        <v>1202577.2570400001</v>
      </c>
      <c r="K41" s="113">
        <v>1353508.11524</v>
      </c>
      <c r="L41" s="113">
        <v>1360358.6739200002</v>
      </c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</row>
    <row r="42" spans="1:26" s="114" customFormat="1" x14ac:dyDescent="0.45">
      <c r="A42" s="114" t="s">
        <v>200</v>
      </c>
      <c r="B42" s="113">
        <v>1101189.4649900005</v>
      </c>
      <c r="C42" s="113">
        <v>1192149.3845400002</v>
      </c>
      <c r="D42" s="113">
        <v>1354650.3021699998</v>
      </c>
      <c r="E42" s="113">
        <v>1424540.3793700002</v>
      </c>
      <c r="F42" s="113">
        <v>1346015.6344100006</v>
      </c>
      <c r="G42" s="113">
        <v>1525066.6891600001</v>
      </c>
      <c r="H42" s="113">
        <v>1605320.2556499995</v>
      </c>
      <c r="I42" s="113">
        <v>1717343.1606200002</v>
      </c>
      <c r="J42" s="113">
        <v>1943320.5890800005</v>
      </c>
      <c r="K42" s="113">
        <v>2202978.2567599998</v>
      </c>
      <c r="L42" s="113">
        <v>2109676.4705799995</v>
      </c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</row>
    <row r="43" spans="1:26" s="114" customFormat="1" x14ac:dyDescent="0.45">
      <c r="A43" s="114" t="s">
        <v>201</v>
      </c>
      <c r="B43" s="113">
        <v>1523389.2867600005</v>
      </c>
      <c r="C43" s="113">
        <v>1634790.3474600001</v>
      </c>
      <c r="D43" s="113">
        <v>1868557.2780300002</v>
      </c>
      <c r="E43" s="113">
        <v>2001169.9639600005</v>
      </c>
      <c r="F43" s="113">
        <v>1918073.5259300007</v>
      </c>
      <c r="G43" s="113">
        <v>2186973.1704599997</v>
      </c>
      <c r="H43" s="113">
        <v>2322053.7990999995</v>
      </c>
      <c r="I43" s="113">
        <v>2459462.4945000014</v>
      </c>
      <c r="J43" s="113">
        <v>2743104.8112600008</v>
      </c>
      <c r="K43" s="113">
        <v>3029620.1081899996</v>
      </c>
      <c r="L43" s="113">
        <v>2878191.4472400001</v>
      </c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</row>
    <row r="44" spans="1:26" s="114" customFormat="1" ht="16.5" thickBot="1" x14ac:dyDescent="0.5">
      <c r="A44" s="114" t="s">
        <v>301</v>
      </c>
      <c r="B44" s="113">
        <v>4530424.7132399995</v>
      </c>
      <c r="C44" s="113">
        <v>5035988.6525400002</v>
      </c>
      <c r="D44" s="113">
        <v>5093719.7219699994</v>
      </c>
      <c r="E44" s="113">
        <v>5331038.0360399997</v>
      </c>
      <c r="F44" s="113">
        <v>5254847.4740699995</v>
      </c>
      <c r="G44" s="113">
        <v>5564751.8295400003</v>
      </c>
      <c r="H44" s="113">
        <v>5843672.2009000005</v>
      </c>
      <c r="I44" s="113">
        <v>5826493.5054999981</v>
      </c>
      <c r="J44" s="113">
        <v>5877832.1887399992</v>
      </c>
      <c r="K44" s="113">
        <v>6314699.8918099999</v>
      </c>
      <c r="L44" s="113">
        <v>6568861.5527599994</v>
      </c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</row>
    <row r="45" spans="1:26" ht="16.5" thickBot="1" x14ac:dyDescent="0.5">
      <c r="A45" s="122" t="s">
        <v>202</v>
      </c>
      <c r="B45" s="123">
        <f t="shared" ref="B45:G45" si="1">SUM(B43:B44)</f>
        <v>6053814</v>
      </c>
      <c r="C45" s="123">
        <f t="shared" si="1"/>
        <v>6670779</v>
      </c>
      <c r="D45" s="123">
        <f t="shared" si="1"/>
        <v>6962277</v>
      </c>
      <c r="E45" s="123">
        <f t="shared" si="1"/>
        <v>7332208</v>
      </c>
      <c r="F45" s="123">
        <f t="shared" si="1"/>
        <v>7172921</v>
      </c>
      <c r="G45" s="123">
        <f t="shared" si="1"/>
        <v>7751725</v>
      </c>
      <c r="H45" s="123">
        <f>SUM(H43:H44)</f>
        <v>8165726</v>
      </c>
      <c r="I45" s="123">
        <f t="shared" ref="I45" si="2">SUM(I43:I44)</f>
        <v>8285956</v>
      </c>
      <c r="J45" s="123">
        <f>SUM(J43:J44)</f>
        <v>8620937</v>
      </c>
      <c r="K45" s="123">
        <f t="shared" ref="K45:L45" si="3">SUM(K43:K44)</f>
        <v>9344320</v>
      </c>
      <c r="L45" s="123">
        <f t="shared" si="3"/>
        <v>9447053</v>
      </c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x14ac:dyDescent="0.45">
      <c r="B46" s="90">
        <f>B15-B45</f>
        <v>0</v>
      </c>
      <c r="C46" s="90">
        <f t="shared" ref="C46:H46" si="4">C15-C45</f>
        <v>0</v>
      </c>
      <c r="D46" s="90">
        <f t="shared" si="4"/>
        <v>0</v>
      </c>
      <c r="E46" s="90">
        <f t="shared" si="4"/>
        <v>0</v>
      </c>
      <c r="F46" s="90">
        <f t="shared" si="4"/>
        <v>0</v>
      </c>
      <c r="G46" s="90">
        <f t="shared" si="4"/>
        <v>0</v>
      </c>
      <c r="H46" s="117">
        <f t="shared" si="4"/>
        <v>0</v>
      </c>
      <c r="I46" s="117">
        <f t="shared" ref="I46:K46" si="5">I15-I45</f>
        <v>0</v>
      </c>
      <c r="J46" s="117">
        <f t="shared" si="5"/>
        <v>0</v>
      </c>
      <c r="K46" s="117">
        <f t="shared" si="5"/>
        <v>0</v>
      </c>
      <c r="L46" s="117">
        <f t="shared" ref="L46" si="6">L15-L45</f>
        <v>0</v>
      </c>
    </row>
    <row r="47" spans="1:26" x14ac:dyDescent="0.45">
      <c r="H47" s="59" t="s">
        <v>122</v>
      </c>
    </row>
    <row r="48" spans="1:26" x14ac:dyDescent="0.45">
      <c r="A48" s="83"/>
    </row>
    <row r="53" spans="1:1" x14ac:dyDescent="0.45">
      <c r="A53" s="83"/>
    </row>
    <row r="61" spans="1:1" x14ac:dyDescent="0.45">
      <c r="A61" s="83"/>
    </row>
    <row r="68" spans="1:1" x14ac:dyDescent="0.45">
      <c r="A68" s="83"/>
    </row>
    <row r="75" spans="1:1" x14ac:dyDescent="0.45">
      <c r="A75" s="83"/>
    </row>
    <row r="85" spans="1:1" x14ac:dyDescent="0.45">
      <c r="A85" s="83"/>
    </row>
  </sheetData>
  <hyperlinks>
    <hyperlink ref="B6" location="Índice!A1" display="Índice"/>
    <hyperlink ref="Q6" location="Índice!A1" display="Índice"/>
  </hyperlinks>
  <pageMargins left="0.51181102362204722" right="0.51181102362204722" top="0.78740157480314965" bottom="0.78740157480314965" header="0.31496062992125984" footer="0.31496062992125984"/>
  <pageSetup paperSize="9" scale="37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Y83"/>
  <sheetViews>
    <sheetView showGridLines="0" zoomScaleNormal="100" workbookViewId="0">
      <pane xSplit="1" ySplit="9" topLeftCell="F10" activePane="bottomRight" state="frozen"/>
      <selection activeCell="C8" sqref="C8"/>
      <selection pane="topRight" activeCell="C8" sqref="C8"/>
      <selection pane="bottomLeft" activeCell="C8" sqref="C8"/>
      <selection pane="bottomRight" activeCell="L8" sqref="L8"/>
    </sheetView>
  </sheetViews>
  <sheetFormatPr defaultColWidth="9.1796875" defaultRowHeight="16" x14ac:dyDescent="0.45"/>
  <cols>
    <col min="1" max="1" width="100.7265625" style="62" customWidth="1"/>
    <col min="2" max="17" width="12" style="62" customWidth="1"/>
    <col min="18" max="18" width="13.453125" style="62" bestFit="1" customWidth="1"/>
    <col min="19" max="19" width="11.7265625" style="62" bestFit="1" customWidth="1"/>
    <col min="20" max="25" width="9.453125" style="62" bestFit="1" customWidth="1"/>
    <col min="26" max="16384" width="9.1796875" style="59"/>
  </cols>
  <sheetData>
    <row r="1" spans="1:25" ht="16.5" x14ac:dyDescent="0.45">
      <c r="A1" s="55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</row>
    <row r="2" spans="1:25" ht="16.5" x14ac:dyDescent="0.45">
      <c r="A2" s="92" t="s">
        <v>121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5" ht="6.75" customHeight="1" x14ac:dyDescent="0.45">
      <c r="A3" s="91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</row>
    <row r="4" spans="1:25" ht="16.5" x14ac:dyDescent="0.45">
      <c r="A4" s="92" t="s">
        <v>13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</row>
    <row r="5" spans="1:25" ht="6.75" customHeight="1" x14ac:dyDescent="0.45">
      <c r="A5" s="55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</row>
    <row r="6" spans="1:25" ht="16.5" x14ac:dyDescent="0.45">
      <c r="A6" s="93"/>
      <c r="B6" s="63" t="s">
        <v>15</v>
      </c>
      <c r="C6" s="59"/>
      <c r="D6" s="59"/>
      <c r="E6" s="59"/>
      <c r="F6" s="59"/>
      <c r="G6" s="59"/>
      <c r="H6" s="59"/>
      <c r="M6" s="63"/>
      <c r="N6" s="63"/>
      <c r="P6" s="63"/>
      <c r="Q6" s="63" t="s">
        <v>15</v>
      </c>
      <c r="R6" s="59"/>
      <c r="S6" s="59"/>
      <c r="T6" s="59"/>
      <c r="U6" s="59"/>
      <c r="V6" s="59"/>
      <c r="W6" s="59"/>
      <c r="X6" s="59"/>
      <c r="Y6" s="59"/>
    </row>
    <row r="7" spans="1:25" ht="17.25" customHeight="1" x14ac:dyDescent="0.45">
      <c r="A7" s="108" t="s">
        <v>240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</row>
    <row r="8" spans="1:25" x14ac:dyDescent="0.45">
      <c r="A8" s="59" t="s">
        <v>212</v>
      </c>
      <c r="B8" s="59" t="s">
        <v>122</v>
      </c>
      <c r="C8" s="59" t="s">
        <v>122</v>
      </c>
      <c r="D8" s="59" t="s">
        <v>122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</row>
    <row r="9" spans="1:25" x14ac:dyDescent="0.45">
      <c r="A9" s="64"/>
      <c r="B9" s="65">
        <v>43891</v>
      </c>
      <c r="C9" s="65">
        <f>EDATE(B9,3)</f>
        <v>43983</v>
      </c>
      <c r="D9" s="65">
        <f t="shared" ref="D9:Y9" si="0">EDATE(C9,3)</f>
        <v>44075</v>
      </c>
      <c r="E9" s="65">
        <f t="shared" si="0"/>
        <v>44166</v>
      </c>
      <c r="F9" s="65">
        <f t="shared" si="0"/>
        <v>44256</v>
      </c>
      <c r="G9" s="65">
        <f t="shared" si="0"/>
        <v>44348</v>
      </c>
      <c r="H9" s="65">
        <f t="shared" si="0"/>
        <v>44440</v>
      </c>
      <c r="I9" s="65">
        <f t="shared" si="0"/>
        <v>44531</v>
      </c>
      <c r="J9" s="65">
        <f t="shared" si="0"/>
        <v>44621</v>
      </c>
      <c r="K9" s="65">
        <f t="shared" si="0"/>
        <v>44713</v>
      </c>
      <c r="L9" s="65">
        <f t="shared" si="0"/>
        <v>44805</v>
      </c>
      <c r="M9" s="65">
        <f t="shared" si="0"/>
        <v>44896</v>
      </c>
      <c r="N9" s="65">
        <f t="shared" si="0"/>
        <v>44986</v>
      </c>
      <c r="O9" s="65">
        <f t="shared" si="0"/>
        <v>45078</v>
      </c>
      <c r="P9" s="65">
        <f t="shared" si="0"/>
        <v>45170</v>
      </c>
      <c r="Q9" s="65">
        <f t="shared" si="0"/>
        <v>45261</v>
      </c>
      <c r="R9" s="65">
        <f t="shared" si="0"/>
        <v>45352</v>
      </c>
      <c r="S9" s="65">
        <f t="shared" si="0"/>
        <v>45444</v>
      </c>
      <c r="T9" s="65">
        <f t="shared" si="0"/>
        <v>45536</v>
      </c>
      <c r="U9" s="65">
        <f t="shared" si="0"/>
        <v>45627</v>
      </c>
      <c r="V9" s="65">
        <f t="shared" si="0"/>
        <v>45717</v>
      </c>
      <c r="W9" s="65">
        <f t="shared" si="0"/>
        <v>45809</v>
      </c>
      <c r="X9" s="65">
        <f t="shared" si="0"/>
        <v>45901</v>
      </c>
      <c r="Y9" s="65">
        <f t="shared" si="0"/>
        <v>45992</v>
      </c>
    </row>
    <row r="10" spans="1:25" ht="16.5" thickBot="1" x14ac:dyDescent="0.5">
      <c r="A10" s="124" t="s">
        <v>105</v>
      </c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6"/>
      <c r="U10" s="126"/>
      <c r="V10" s="126"/>
      <c r="W10" s="126"/>
      <c r="X10" s="126"/>
      <c r="Y10" s="126"/>
    </row>
    <row r="11" spans="1:25" x14ac:dyDescent="0.45">
      <c r="A11" s="127" t="s">
        <v>147</v>
      </c>
      <c r="B11" s="128">
        <f t="shared" ref="B11:Y11" si="1">B12+B17</f>
        <v>1028813.7000000001</v>
      </c>
      <c r="C11" s="128">
        <f t="shared" ref="C11" si="2">C12+C17</f>
        <v>1047665</v>
      </c>
      <c r="D11" s="128">
        <f t="shared" si="1"/>
        <v>1066869</v>
      </c>
      <c r="E11" s="128">
        <f t="shared" si="1"/>
        <v>1034558</v>
      </c>
      <c r="F11" s="128">
        <f t="shared" si="1"/>
        <v>1083545</v>
      </c>
      <c r="G11" s="128">
        <f t="shared" si="1"/>
        <v>1119377</v>
      </c>
      <c r="H11" s="128">
        <f t="shared" si="1"/>
        <v>1158437</v>
      </c>
      <c r="I11" s="128">
        <f t="shared" si="1"/>
        <v>1064835</v>
      </c>
      <c r="J11" s="128">
        <f t="shared" si="1"/>
        <v>1195509</v>
      </c>
      <c r="K11" s="128">
        <f t="shared" si="1"/>
        <v>1233486</v>
      </c>
      <c r="L11" s="128">
        <f t="shared" si="1"/>
        <v>1282124</v>
      </c>
      <c r="M11" s="128">
        <f t="shared" si="1"/>
        <v>0</v>
      </c>
      <c r="N11" s="128">
        <f t="shared" si="1"/>
        <v>0</v>
      </c>
      <c r="O11" s="128">
        <f t="shared" si="1"/>
        <v>0</v>
      </c>
      <c r="P11" s="128">
        <f t="shared" si="1"/>
        <v>0</v>
      </c>
      <c r="Q11" s="128">
        <f t="shared" si="1"/>
        <v>0</v>
      </c>
      <c r="R11" s="128">
        <f t="shared" si="1"/>
        <v>0</v>
      </c>
      <c r="S11" s="128">
        <f t="shared" si="1"/>
        <v>0</v>
      </c>
      <c r="T11" s="128">
        <f t="shared" si="1"/>
        <v>0</v>
      </c>
      <c r="U11" s="128">
        <f t="shared" si="1"/>
        <v>0</v>
      </c>
      <c r="V11" s="128">
        <f t="shared" si="1"/>
        <v>0</v>
      </c>
      <c r="W11" s="128">
        <f t="shared" si="1"/>
        <v>0</v>
      </c>
      <c r="X11" s="128">
        <f t="shared" si="1"/>
        <v>0</v>
      </c>
      <c r="Y11" s="128">
        <f t="shared" si="1"/>
        <v>0</v>
      </c>
    </row>
    <row r="12" spans="1:25" x14ac:dyDescent="0.45">
      <c r="A12" s="129" t="s">
        <v>148</v>
      </c>
      <c r="B12" s="130">
        <f t="shared" ref="B12:Y12" si="3">B13+B14</f>
        <v>751833.70000000007</v>
      </c>
      <c r="C12" s="130">
        <f t="shared" ref="C12" si="4">C13+C14</f>
        <v>764579</v>
      </c>
      <c r="D12" s="130">
        <f t="shared" si="3"/>
        <v>791534</v>
      </c>
      <c r="E12" s="130">
        <f t="shared" si="3"/>
        <v>781972</v>
      </c>
      <c r="F12" s="130">
        <f t="shared" si="3"/>
        <v>838864</v>
      </c>
      <c r="G12" s="130">
        <f t="shared" si="3"/>
        <v>883344</v>
      </c>
      <c r="H12" s="130">
        <f t="shared" si="3"/>
        <v>931772</v>
      </c>
      <c r="I12" s="130">
        <f t="shared" si="3"/>
        <v>868274</v>
      </c>
      <c r="J12" s="130">
        <f t="shared" si="3"/>
        <v>988904</v>
      </c>
      <c r="K12" s="130">
        <f t="shared" si="3"/>
        <v>1003000</v>
      </c>
      <c r="L12" s="130">
        <f t="shared" si="3"/>
        <v>1003106</v>
      </c>
      <c r="M12" s="130">
        <f t="shared" si="3"/>
        <v>0</v>
      </c>
      <c r="N12" s="130">
        <f t="shared" si="3"/>
        <v>0</v>
      </c>
      <c r="O12" s="130">
        <f t="shared" si="3"/>
        <v>0</v>
      </c>
      <c r="P12" s="130">
        <f t="shared" si="3"/>
        <v>0</v>
      </c>
      <c r="Q12" s="130">
        <f t="shared" si="3"/>
        <v>0</v>
      </c>
      <c r="R12" s="130">
        <f t="shared" si="3"/>
        <v>0</v>
      </c>
      <c r="S12" s="130">
        <f t="shared" si="3"/>
        <v>0</v>
      </c>
      <c r="T12" s="130">
        <f t="shared" si="3"/>
        <v>0</v>
      </c>
      <c r="U12" s="130">
        <f t="shared" si="3"/>
        <v>0</v>
      </c>
      <c r="V12" s="130">
        <f t="shared" si="3"/>
        <v>0</v>
      </c>
      <c r="W12" s="130">
        <f t="shared" si="3"/>
        <v>0</v>
      </c>
      <c r="X12" s="130">
        <f t="shared" si="3"/>
        <v>0</v>
      </c>
      <c r="Y12" s="130">
        <f t="shared" si="3"/>
        <v>0</v>
      </c>
    </row>
    <row r="13" spans="1:25" s="62" customFormat="1" ht="18" customHeight="1" x14ac:dyDescent="0.45">
      <c r="A13" s="131" t="s">
        <v>149</v>
      </c>
      <c r="B13" s="96">
        <v>709237.8</v>
      </c>
      <c r="C13" s="96">
        <v>717073</v>
      </c>
      <c r="D13" s="96">
        <v>743918</v>
      </c>
      <c r="E13" s="96">
        <v>734772</v>
      </c>
      <c r="F13" s="96">
        <v>791668</v>
      </c>
      <c r="G13" s="96">
        <v>835983</v>
      </c>
      <c r="H13" s="96">
        <v>884560</v>
      </c>
      <c r="I13" s="96">
        <v>820423</v>
      </c>
      <c r="J13" s="96">
        <v>941547</v>
      </c>
      <c r="K13" s="96">
        <v>955098</v>
      </c>
      <c r="L13" s="96">
        <v>955410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</row>
    <row r="14" spans="1:25" s="62" customFormat="1" x14ac:dyDescent="0.45">
      <c r="A14" s="131" t="s">
        <v>150</v>
      </c>
      <c r="B14" s="100">
        <f t="shared" ref="B14:Y14" si="5">B15+B16</f>
        <v>42595.9</v>
      </c>
      <c r="C14" s="100">
        <f t="shared" ref="C14" si="6">C15+C16</f>
        <v>47506</v>
      </c>
      <c r="D14" s="100">
        <f>D15+D16</f>
        <v>47616</v>
      </c>
      <c r="E14" s="100">
        <f t="shared" si="5"/>
        <v>47200</v>
      </c>
      <c r="F14" s="100">
        <f t="shared" si="5"/>
        <v>47196</v>
      </c>
      <c r="G14" s="100">
        <f t="shared" si="5"/>
        <v>47361</v>
      </c>
      <c r="H14" s="100">
        <f t="shared" si="5"/>
        <v>47212</v>
      </c>
      <c r="I14" s="100">
        <f t="shared" si="5"/>
        <v>47851</v>
      </c>
      <c r="J14" s="100">
        <f t="shared" si="5"/>
        <v>47357</v>
      </c>
      <c r="K14" s="96">
        <v>47902</v>
      </c>
      <c r="L14" s="96">
        <v>47696</v>
      </c>
      <c r="M14" s="96">
        <f t="shared" si="5"/>
        <v>0</v>
      </c>
      <c r="N14" s="96">
        <f t="shared" si="5"/>
        <v>0</v>
      </c>
      <c r="O14" s="96">
        <f t="shared" si="5"/>
        <v>0</v>
      </c>
      <c r="P14" s="96">
        <f t="shared" si="5"/>
        <v>0</v>
      </c>
      <c r="Q14" s="96">
        <f t="shared" si="5"/>
        <v>0</v>
      </c>
      <c r="R14" s="96">
        <f t="shared" si="5"/>
        <v>0</v>
      </c>
      <c r="S14" s="96">
        <f t="shared" si="5"/>
        <v>0</v>
      </c>
      <c r="T14" s="96">
        <f t="shared" si="5"/>
        <v>0</v>
      </c>
      <c r="U14" s="96">
        <f t="shared" si="5"/>
        <v>0</v>
      </c>
      <c r="V14" s="96">
        <f t="shared" si="5"/>
        <v>0</v>
      </c>
      <c r="W14" s="96">
        <f t="shared" si="5"/>
        <v>0</v>
      </c>
      <c r="X14" s="96">
        <f t="shared" si="5"/>
        <v>0</v>
      </c>
      <c r="Y14" s="96">
        <f t="shared" si="5"/>
        <v>0</v>
      </c>
    </row>
    <row r="15" spans="1:25" s="62" customFormat="1" x14ac:dyDescent="0.45">
      <c r="A15" s="131" t="s">
        <v>151</v>
      </c>
      <c r="B15" s="96">
        <v>41652.9</v>
      </c>
      <c r="C15" s="96">
        <v>46549</v>
      </c>
      <c r="D15" s="96">
        <v>46777</v>
      </c>
      <c r="E15" s="96">
        <v>46384</v>
      </c>
      <c r="F15" s="96">
        <v>46444</v>
      </c>
      <c r="G15" s="96">
        <v>46529</v>
      </c>
      <c r="H15" s="96">
        <v>46359</v>
      </c>
      <c r="I15" s="96">
        <v>46930</v>
      </c>
      <c r="J15" s="96">
        <v>46409</v>
      </c>
      <c r="K15" s="96">
        <v>0</v>
      </c>
      <c r="L15" s="96">
        <v>0</v>
      </c>
      <c r="M15" s="96">
        <v>0</v>
      </c>
      <c r="N15" s="96">
        <v>0</v>
      </c>
      <c r="O15" s="96">
        <v>0</v>
      </c>
      <c r="P15" s="96">
        <v>0</v>
      </c>
      <c r="Q15" s="96">
        <v>0</v>
      </c>
      <c r="R15" s="96">
        <v>0</v>
      </c>
      <c r="S15" s="96">
        <v>0</v>
      </c>
      <c r="T15" s="96">
        <v>0</v>
      </c>
      <c r="U15" s="96">
        <v>0</v>
      </c>
      <c r="V15" s="96">
        <v>0</v>
      </c>
      <c r="W15" s="96">
        <v>0</v>
      </c>
      <c r="X15" s="96">
        <v>0</v>
      </c>
      <c r="Y15" s="96">
        <v>0</v>
      </c>
    </row>
    <row r="16" spans="1:25" s="62" customFormat="1" x14ac:dyDescent="0.45">
      <c r="A16" s="131" t="s">
        <v>152</v>
      </c>
      <c r="B16" s="96">
        <v>943</v>
      </c>
      <c r="C16" s="96">
        <v>957</v>
      </c>
      <c r="D16" s="96">
        <v>839</v>
      </c>
      <c r="E16" s="96">
        <v>816</v>
      </c>
      <c r="F16" s="96">
        <v>752</v>
      </c>
      <c r="G16" s="96">
        <v>832</v>
      </c>
      <c r="H16" s="96">
        <v>853</v>
      </c>
      <c r="I16" s="96">
        <v>921</v>
      </c>
      <c r="J16" s="96">
        <v>948</v>
      </c>
      <c r="K16" s="96">
        <v>0</v>
      </c>
      <c r="L16" s="96">
        <v>0</v>
      </c>
      <c r="M16" s="96">
        <v>0</v>
      </c>
      <c r="N16" s="96">
        <v>0</v>
      </c>
      <c r="O16" s="96">
        <v>0</v>
      </c>
      <c r="P16" s="96">
        <v>0</v>
      </c>
      <c r="Q16" s="96">
        <v>0</v>
      </c>
      <c r="R16" s="96">
        <v>0</v>
      </c>
      <c r="S16" s="96">
        <v>0</v>
      </c>
      <c r="T16" s="96">
        <v>0</v>
      </c>
      <c r="U16" s="96">
        <v>0</v>
      </c>
      <c r="V16" s="96">
        <v>0</v>
      </c>
      <c r="W16" s="96">
        <v>0</v>
      </c>
      <c r="X16" s="96">
        <v>0</v>
      </c>
      <c r="Y16" s="96">
        <v>0</v>
      </c>
    </row>
    <row r="17" spans="1:25" x14ac:dyDescent="0.45">
      <c r="A17" s="129" t="s">
        <v>153</v>
      </c>
      <c r="B17" s="130">
        <f>B18+B19-1</f>
        <v>276980</v>
      </c>
      <c r="C17" s="130">
        <f>C18+C19</f>
        <v>283086</v>
      </c>
      <c r="D17" s="130">
        <f t="shared" ref="D17:Y17" si="7">D18+D19</f>
        <v>275335</v>
      </c>
      <c r="E17" s="130">
        <f t="shared" si="7"/>
        <v>252586</v>
      </c>
      <c r="F17" s="130">
        <f t="shared" si="7"/>
        <v>244681</v>
      </c>
      <c r="G17" s="130">
        <f t="shared" si="7"/>
        <v>236033</v>
      </c>
      <c r="H17" s="130">
        <f t="shared" si="7"/>
        <v>226665</v>
      </c>
      <c r="I17" s="130">
        <f t="shared" si="7"/>
        <v>196561</v>
      </c>
      <c r="J17" s="130">
        <f t="shared" si="7"/>
        <v>206605</v>
      </c>
      <c r="K17" s="130">
        <v>230486</v>
      </c>
      <c r="L17" s="130">
        <v>279018</v>
      </c>
      <c r="M17" s="130">
        <f t="shared" si="7"/>
        <v>0</v>
      </c>
      <c r="N17" s="130">
        <f t="shared" si="7"/>
        <v>0</v>
      </c>
      <c r="O17" s="130">
        <f t="shared" si="7"/>
        <v>0</v>
      </c>
      <c r="P17" s="130">
        <f t="shared" si="7"/>
        <v>0</v>
      </c>
      <c r="Q17" s="130">
        <f t="shared" si="7"/>
        <v>0</v>
      </c>
      <c r="R17" s="130">
        <f t="shared" si="7"/>
        <v>0</v>
      </c>
      <c r="S17" s="130">
        <f t="shared" si="7"/>
        <v>0</v>
      </c>
      <c r="T17" s="130">
        <f t="shared" si="7"/>
        <v>0</v>
      </c>
      <c r="U17" s="130">
        <f t="shared" si="7"/>
        <v>0</v>
      </c>
      <c r="V17" s="130">
        <f t="shared" si="7"/>
        <v>0</v>
      </c>
      <c r="W17" s="130">
        <f t="shared" si="7"/>
        <v>0</v>
      </c>
      <c r="X17" s="130">
        <f t="shared" si="7"/>
        <v>0</v>
      </c>
      <c r="Y17" s="130">
        <f t="shared" si="7"/>
        <v>0</v>
      </c>
    </row>
    <row r="18" spans="1:25" s="62" customFormat="1" x14ac:dyDescent="0.45">
      <c r="A18" s="131" t="s">
        <v>154</v>
      </c>
      <c r="B18" s="96">
        <v>275723</v>
      </c>
      <c r="C18" s="96">
        <v>281810</v>
      </c>
      <c r="D18" s="96">
        <v>274216</v>
      </c>
      <c r="E18" s="96">
        <v>251498</v>
      </c>
      <c r="F18" s="96">
        <v>243678</v>
      </c>
      <c r="G18" s="96">
        <v>234923</v>
      </c>
      <c r="H18" s="96">
        <v>225528</v>
      </c>
      <c r="I18" s="96">
        <v>195333</v>
      </c>
      <c r="J18" s="96">
        <v>205340</v>
      </c>
      <c r="K18" s="96">
        <v>0</v>
      </c>
      <c r="L18" s="96">
        <v>0</v>
      </c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</row>
    <row r="19" spans="1:25" s="62" customFormat="1" x14ac:dyDescent="0.45">
      <c r="A19" s="132" t="s">
        <v>155</v>
      </c>
      <c r="B19" s="96">
        <v>1258</v>
      </c>
      <c r="C19" s="96">
        <v>1276</v>
      </c>
      <c r="D19" s="96">
        <v>1119</v>
      </c>
      <c r="E19" s="96">
        <v>1088</v>
      </c>
      <c r="F19" s="96">
        <v>1003</v>
      </c>
      <c r="G19" s="96">
        <v>1110</v>
      </c>
      <c r="H19" s="96">
        <v>1137</v>
      </c>
      <c r="I19" s="96">
        <v>1228</v>
      </c>
      <c r="J19" s="96">
        <v>1265</v>
      </c>
      <c r="K19" s="96">
        <v>0</v>
      </c>
      <c r="L19" s="96">
        <v>0</v>
      </c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</row>
    <row r="20" spans="1:25" x14ac:dyDescent="0.45">
      <c r="A20" s="133" t="s">
        <v>156</v>
      </c>
      <c r="B20" s="130">
        <f t="shared" ref="B20:Y20" si="8">SUM(B21:B23)</f>
        <v>5865092.4999999991</v>
      </c>
      <c r="C20" s="130">
        <f t="shared" ref="C20" si="9">SUM(C21:C23)</f>
        <v>5795471.2999999998</v>
      </c>
      <c r="D20" s="130">
        <f t="shared" si="8"/>
        <v>5812313</v>
      </c>
      <c r="E20" s="130">
        <f t="shared" si="8"/>
        <v>6232703</v>
      </c>
      <c r="F20" s="130">
        <f t="shared" si="8"/>
        <v>6463065</v>
      </c>
      <c r="G20" s="130">
        <f t="shared" si="8"/>
        <v>6812512</v>
      </c>
      <c r="H20" s="130">
        <f t="shared" si="8"/>
        <v>7259895</v>
      </c>
      <c r="I20" s="130">
        <f t="shared" si="8"/>
        <v>7698797</v>
      </c>
      <c r="J20" s="130">
        <f t="shared" si="8"/>
        <v>8563063</v>
      </c>
      <c r="K20" s="130">
        <f t="shared" si="8"/>
        <v>8483233</v>
      </c>
      <c r="L20" s="130">
        <f t="shared" si="8"/>
        <v>8551897</v>
      </c>
      <c r="M20" s="130">
        <f t="shared" si="8"/>
        <v>0</v>
      </c>
      <c r="N20" s="130">
        <f t="shared" si="8"/>
        <v>0</v>
      </c>
      <c r="O20" s="130">
        <f t="shared" si="8"/>
        <v>0</v>
      </c>
      <c r="P20" s="130">
        <f t="shared" si="8"/>
        <v>0</v>
      </c>
      <c r="Q20" s="130">
        <f t="shared" si="8"/>
        <v>0</v>
      </c>
      <c r="R20" s="130">
        <f t="shared" si="8"/>
        <v>0</v>
      </c>
      <c r="S20" s="130">
        <f t="shared" si="8"/>
        <v>0</v>
      </c>
      <c r="T20" s="130">
        <f t="shared" si="8"/>
        <v>0</v>
      </c>
      <c r="U20" s="130">
        <f t="shared" si="8"/>
        <v>0</v>
      </c>
      <c r="V20" s="130">
        <f t="shared" si="8"/>
        <v>0</v>
      </c>
      <c r="W20" s="130">
        <f t="shared" si="8"/>
        <v>0</v>
      </c>
      <c r="X20" s="130">
        <f t="shared" si="8"/>
        <v>0</v>
      </c>
      <c r="Y20" s="130">
        <f t="shared" si="8"/>
        <v>0</v>
      </c>
    </row>
    <row r="21" spans="1:25" s="62" customFormat="1" x14ac:dyDescent="0.45">
      <c r="A21" s="132" t="s">
        <v>390</v>
      </c>
      <c r="B21" s="96">
        <v>4704783.5999999996</v>
      </c>
      <c r="C21" s="96">
        <v>4751364</v>
      </c>
      <c r="D21" s="96">
        <v>4864786</v>
      </c>
      <c r="E21" s="96">
        <v>5290346</v>
      </c>
      <c r="F21" s="96">
        <v>5578645</v>
      </c>
      <c r="G21" s="96">
        <v>5925333</v>
      </c>
      <c r="H21" s="96">
        <v>6180609</v>
      </c>
      <c r="I21" s="96">
        <v>6621652</v>
      </c>
      <c r="J21" s="96">
        <v>7324024</v>
      </c>
      <c r="K21" s="96">
        <v>7241945</v>
      </c>
      <c r="L21" s="96">
        <v>7436982</v>
      </c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</row>
    <row r="22" spans="1:25" s="62" customFormat="1" x14ac:dyDescent="0.45">
      <c r="A22" s="132" t="s">
        <v>391</v>
      </c>
      <c r="B22" s="96">
        <v>118077.6</v>
      </c>
      <c r="C22" s="96">
        <v>1876</v>
      </c>
      <c r="D22" s="96">
        <v>7891</v>
      </c>
      <c r="E22" s="96">
        <v>2721</v>
      </c>
      <c r="F22" s="96">
        <v>4176</v>
      </c>
      <c r="G22" s="96">
        <v>6935</v>
      </c>
      <c r="H22" s="96">
        <v>5158</v>
      </c>
      <c r="I22" s="96">
        <v>3017</v>
      </c>
      <c r="J22" s="96">
        <v>4903</v>
      </c>
      <c r="K22" s="96">
        <v>7152</v>
      </c>
      <c r="L22" s="96">
        <v>4658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</row>
    <row r="23" spans="1:25" s="62" customFormat="1" x14ac:dyDescent="0.45">
      <c r="A23" s="132" t="s">
        <v>392</v>
      </c>
      <c r="B23" s="96">
        <v>1042231.3</v>
      </c>
      <c r="C23" s="96">
        <v>1042231.3</v>
      </c>
      <c r="D23" s="96">
        <v>939636</v>
      </c>
      <c r="E23" s="96">
        <v>939636</v>
      </c>
      <c r="F23" s="96">
        <v>880244</v>
      </c>
      <c r="G23" s="96">
        <v>880244</v>
      </c>
      <c r="H23" s="96">
        <v>1074128</v>
      </c>
      <c r="I23" s="96">
        <v>1074128</v>
      </c>
      <c r="J23" s="96">
        <v>1234136</v>
      </c>
      <c r="K23" s="96">
        <v>1234136</v>
      </c>
      <c r="L23" s="96">
        <v>1110257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</row>
    <row r="24" spans="1:25" x14ac:dyDescent="0.45">
      <c r="A24" s="129" t="s">
        <v>302</v>
      </c>
      <c r="B24" s="130">
        <f t="shared" ref="B24:J24" si="10">B20*8%</f>
        <v>469207.39999999991</v>
      </c>
      <c r="C24" s="130">
        <f t="shared" ref="C24" si="11">C20*8%</f>
        <v>463637.70399999997</v>
      </c>
      <c r="D24" s="130">
        <f t="shared" si="10"/>
        <v>464985.04000000004</v>
      </c>
      <c r="E24" s="130">
        <f t="shared" si="10"/>
        <v>498616.24</v>
      </c>
      <c r="F24" s="130">
        <f t="shared" si="10"/>
        <v>517045.2</v>
      </c>
      <c r="G24" s="130">
        <f t="shared" si="10"/>
        <v>545000.95999999996</v>
      </c>
      <c r="H24" s="130">
        <f t="shared" si="10"/>
        <v>580791.6</v>
      </c>
      <c r="I24" s="130">
        <f t="shared" si="10"/>
        <v>615903.76</v>
      </c>
      <c r="J24" s="130">
        <f t="shared" si="10"/>
        <v>685045.04</v>
      </c>
      <c r="K24" s="130">
        <v>0</v>
      </c>
      <c r="L24" s="130">
        <v>0</v>
      </c>
      <c r="M24" s="130">
        <v>0</v>
      </c>
      <c r="N24" s="130">
        <v>0</v>
      </c>
      <c r="O24" s="130">
        <v>0</v>
      </c>
      <c r="P24" s="130">
        <v>0</v>
      </c>
      <c r="Q24" s="130">
        <v>0</v>
      </c>
      <c r="R24" s="130">
        <v>0</v>
      </c>
      <c r="S24" s="130">
        <v>0</v>
      </c>
      <c r="T24" s="130">
        <v>0</v>
      </c>
      <c r="U24" s="130">
        <v>0</v>
      </c>
      <c r="V24" s="130">
        <v>0</v>
      </c>
      <c r="W24" s="130">
        <v>0</v>
      </c>
      <c r="X24" s="130">
        <v>0</v>
      </c>
      <c r="Y24" s="130">
        <v>0</v>
      </c>
    </row>
    <row r="25" spans="1:25" x14ac:dyDescent="0.45">
      <c r="A25" s="134" t="s">
        <v>157</v>
      </c>
      <c r="B25" s="96">
        <f>B11-B24+1</f>
        <v>559607.30000000016</v>
      </c>
      <c r="C25" s="96">
        <f>C11-C24</f>
        <v>584027.29600000009</v>
      </c>
      <c r="D25" s="96">
        <f t="shared" ref="D25:I25" si="12">D11-D24</f>
        <v>601883.96</v>
      </c>
      <c r="E25" s="96">
        <f t="shared" si="12"/>
        <v>535941.76</v>
      </c>
      <c r="F25" s="96">
        <f t="shared" si="12"/>
        <v>566499.80000000005</v>
      </c>
      <c r="G25" s="96">
        <v>574376</v>
      </c>
      <c r="H25" s="96">
        <f t="shared" si="12"/>
        <v>577645.4</v>
      </c>
      <c r="I25" s="96">
        <f t="shared" si="12"/>
        <v>448931.24</v>
      </c>
      <c r="J25" s="96">
        <v>510464</v>
      </c>
      <c r="K25" s="96">
        <v>0</v>
      </c>
      <c r="L25" s="96">
        <v>0</v>
      </c>
      <c r="M25" s="96">
        <v>0</v>
      </c>
      <c r="N25" s="96">
        <v>0</v>
      </c>
      <c r="O25" s="96">
        <v>0</v>
      </c>
      <c r="P25" s="96">
        <v>0</v>
      </c>
      <c r="Q25" s="96">
        <v>0</v>
      </c>
      <c r="R25" s="96">
        <v>0</v>
      </c>
      <c r="S25" s="96">
        <v>0</v>
      </c>
      <c r="T25" s="96">
        <v>0</v>
      </c>
      <c r="U25" s="96">
        <v>0</v>
      </c>
      <c r="V25" s="96">
        <v>0</v>
      </c>
      <c r="W25" s="96">
        <v>0</v>
      </c>
      <c r="X25" s="96">
        <v>0</v>
      </c>
      <c r="Y25" s="96">
        <v>0</v>
      </c>
    </row>
    <row r="26" spans="1:25" x14ac:dyDescent="0.45">
      <c r="A26" s="129" t="s">
        <v>158</v>
      </c>
      <c r="B26" s="130">
        <f t="shared" ref="B26:J26" si="13">B20*6%</f>
        <v>351905.54999999993</v>
      </c>
      <c r="C26" s="130">
        <f t="shared" ref="C26" si="14">C20*6%</f>
        <v>347728.27799999999</v>
      </c>
      <c r="D26" s="130">
        <f t="shared" si="13"/>
        <v>348738.77999999997</v>
      </c>
      <c r="E26" s="130">
        <f t="shared" si="13"/>
        <v>373962.18</v>
      </c>
      <c r="F26" s="130">
        <f t="shared" si="13"/>
        <v>387783.89999999997</v>
      </c>
      <c r="G26" s="130">
        <f t="shared" si="13"/>
        <v>408750.72</v>
      </c>
      <c r="H26" s="130">
        <f t="shared" si="13"/>
        <v>435593.7</v>
      </c>
      <c r="I26" s="130">
        <f t="shared" si="13"/>
        <v>461927.82</v>
      </c>
      <c r="J26" s="130">
        <f t="shared" si="13"/>
        <v>513783.77999999997</v>
      </c>
      <c r="K26" s="130">
        <v>0</v>
      </c>
      <c r="L26" s="130">
        <v>0</v>
      </c>
      <c r="M26" s="130">
        <v>0</v>
      </c>
      <c r="N26" s="130">
        <v>0</v>
      </c>
      <c r="O26" s="130">
        <v>0</v>
      </c>
      <c r="P26" s="130">
        <v>0</v>
      </c>
      <c r="Q26" s="130">
        <v>0</v>
      </c>
      <c r="R26" s="130">
        <v>0</v>
      </c>
      <c r="S26" s="130">
        <v>0</v>
      </c>
      <c r="T26" s="130">
        <v>0</v>
      </c>
      <c r="U26" s="130">
        <v>0</v>
      </c>
      <c r="V26" s="130">
        <v>0</v>
      </c>
      <c r="W26" s="130">
        <v>0</v>
      </c>
      <c r="X26" s="130">
        <v>0</v>
      </c>
      <c r="Y26" s="130">
        <v>0</v>
      </c>
    </row>
    <row r="27" spans="1:25" x14ac:dyDescent="0.45">
      <c r="A27" s="134" t="s">
        <v>159</v>
      </c>
      <c r="B27" s="96">
        <f t="shared" ref="B27:J27" si="15">B12-B26</f>
        <v>399928.15000000014</v>
      </c>
      <c r="C27" s="96">
        <f t="shared" ref="C27" si="16">C12-C26</f>
        <v>416850.72200000001</v>
      </c>
      <c r="D27" s="96">
        <f t="shared" si="15"/>
        <v>442795.22000000003</v>
      </c>
      <c r="E27" s="96">
        <f t="shared" si="15"/>
        <v>408009.82</v>
      </c>
      <c r="F27" s="96">
        <f t="shared" si="15"/>
        <v>451080.10000000003</v>
      </c>
      <c r="G27" s="96">
        <f t="shared" si="15"/>
        <v>474593.28000000003</v>
      </c>
      <c r="H27" s="96">
        <f t="shared" si="15"/>
        <v>496178.3</v>
      </c>
      <c r="I27" s="96">
        <f t="shared" si="15"/>
        <v>406346.18</v>
      </c>
      <c r="J27" s="96">
        <f t="shared" si="15"/>
        <v>475120.22000000003</v>
      </c>
      <c r="K27" s="96">
        <v>0</v>
      </c>
      <c r="L27" s="96">
        <v>0</v>
      </c>
      <c r="M27" s="96">
        <v>0</v>
      </c>
      <c r="N27" s="96">
        <v>0</v>
      </c>
      <c r="O27" s="96">
        <v>0</v>
      </c>
      <c r="P27" s="96">
        <v>0</v>
      </c>
      <c r="Q27" s="96">
        <v>0</v>
      </c>
      <c r="R27" s="96">
        <v>0</v>
      </c>
      <c r="S27" s="96">
        <v>0</v>
      </c>
      <c r="T27" s="96">
        <v>0</v>
      </c>
      <c r="U27" s="96">
        <v>0</v>
      </c>
      <c r="V27" s="96">
        <v>0</v>
      </c>
      <c r="W27" s="96">
        <v>0</v>
      </c>
      <c r="X27" s="96">
        <v>0</v>
      </c>
      <c r="Y27" s="96">
        <v>0</v>
      </c>
    </row>
    <row r="28" spans="1:25" x14ac:dyDescent="0.45">
      <c r="A28" s="133" t="s">
        <v>160</v>
      </c>
      <c r="B28" s="130">
        <f t="shared" ref="B28:J28" si="17">B20*4.5%</f>
        <v>263929.16249999998</v>
      </c>
      <c r="C28" s="130">
        <f t="shared" ref="C28" si="18">C20*4.5%</f>
        <v>260796.20849999998</v>
      </c>
      <c r="D28" s="130">
        <f t="shared" si="17"/>
        <v>261554.08499999999</v>
      </c>
      <c r="E28" s="130">
        <f t="shared" si="17"/>
        <v>280471.63500000001</v>
      </c>
      <c r="F28" s="130">
        <f t="shared" si="17"/>
        <v>290837.92499999999</v>
      </c>
      <c r="G28" s="130">
        <f t="shared" si="17"/>
        <v>306563.03999999998</v>
      </c>
      <c r="H28" s="130">
        <f t="shared" si="17"/>
        <v>326695.27499999997</v>
      </c>
      <c r="I28" s="130">
        <f t="shared" si="17"/>
        <v>346445.86499999999</v>
      </c>
      <c r="J28" s="130">
        <f t="shared" si="17"/>
        <v>385337.83499999996</v>
      </c>
      <c r="K28" s="130">
        <v>0</v>
      </c>
      <c r="L28" s="130">
        <v>0</v>
      </c>
      <c r="M28" s="130">
        <v>0</v>
      </c>
      <c r="N28" s="130">
        <v>0</v>
      </c>
      <c r="O28" s="130">
        <v>0</v>
      </c>
      <c r="P28" s="130">
        <v>0</v>
      </c>
      <c r="Q28" s="130">
        <v>0</v>
      </c>
      <c r="R28" s="130">
        <v>0</v>
      </c>
      <c r="S28" s="130">
        <v>0</v>
      </c>
      <c r="T28" s="130">
        <v>0</v>
      </c>
      <c r="U28" s="130">
        <v>0</v>
      </c>
      <c r="V28" s="130">
        <v>0</v>
      </c>
      <c r="W28" s="130">
        <v>0</v>
      </c>
      <c r="X28" s="130">
        <v>0</v>
      </c>
      <c r="Y28" s="130">
        <v>0</v>
      </c>
    </row>
    <row r="29" spans="1:25" x14ac:dyDescent="0.45">
      <c r="A29" s="135" t="s">
        <v>161</v>
      </c>
      <c r="B29" s="104">
        <f t="shared" ref="B29:J29" si="19">B13-B28</f>
        <v>445308.63750000007</v>
      </c>
      <c r="C29" s="104">
        <f t="shared" ref="C29" si="20">C13-C28</f>
        <v>456276.79150000005</v>
      </c>
      <c r="D29" s="104">
        <f t="shared" si="19"/>
        <v>482363.91500000004</v>
      </c>
      <c r="E29" s="104">
        <f t="shared" si="19"/>
        <v>454300.36499999999</v>
      </c>
      <c r="F29" s="104">
        <f t="shared" si="19"/>
        <v>500830.07500000001</v>
      </c>
      <c r="G29" s="104">
        <f t="shared" si="19"/>
        <v>529419.96</v>
      </c>
      <c r="H29" s="104">
        <f t="shared" si="19"/>
        <v>557864.72500000009</v>
      </c>
      <c r="I29" s="104">
        <f t="shared" si="19"/>
        <v>473977.13500000001</v>
      </c>
      <c r="J29" s="104">
        <f t="shared" si="19"/>
        <v>556209.16500000004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</row>
    <row r="30" spans="1:25" s="62" customFormat="1" x14ac:dyDescent="0.45">
      <c r="A30" s="136" t="s">
        <v>393</v>
      </c>
      <c r="B30" s="137">
        <v>53486</v>
      </c>
      <c r="C30" s="137">
        <v>60619</v>
      </c>
      <c r="D30" s="137">
        <v>87562</v>
      </c>
      <c r="E30" s="137">
        <v>112732</v>
      </c>
      <c r="F30" s="137">
        <v>119634</v>
      </c>
      <c r="G30" s="137">
        <v>108983</v>
      </c>
      <c r="H30" s="137">
        <v>132049</v>
      </c>
      <c r="I30" s="137">
        <v>125024</v>
      </c>
      <c r="J30" s="137">
        <v>105226</v>
      </c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</row>
    <row r="31" spans="1:25" x14ac:dyDescent="0.45">
      <c r="A31" s="133" t="s">
        <v>394</v>
      </c>
      <c r="B31" s="130">
        <f t="shared" ref="B31:L31" si="21">B24+B30</f>
        <v>522693.39999999991</v>
      </c>
      <c r="C31" s="130">
        <f t="shared" ref="C31" si="22">C24+C30</f>
        <v>524256.70399999997</v>
      </c>
      <c r="D31" s="130">
        <f t="shared" si="21"/>
        <v>552547.04</v>
      </c>
      <c r="E31" s="130">
        <f t="shared" si="21"/>
        <v>611348.24</v>
      </c>
      <c r="F31" s="130">
        <f t="shared" si="21"/>
        <v>636679.19999999995</v>
      </c>
      <c r="G31" s="130">
        <f t="shared" si="21"/>
        <v>653983.96</v>
      </c>
      <c r="H31" s="130">
        <f t="shared" si="21"/>
        <v>712840.6</v>
      </c>
      <c r="I31" s="130">
        <f t="shared" si="21"/>
        <v>740927.76</v>
      </c>
      <c r="J31" s="130">
        <f t="shared" si="21"/>
        <v>790271.04</v>
      </c>
      <c r="K31" s="130">
        <f t="shared" si="21"/>
        <v>0</v>
      </c>
      <c r="L31" s="130">
        <f t="shared" si="21"/>
        <v>0</v>
      </c>
      <c r="M31" s="130">
        <f t="shared" ref="M31:Y31" si="23">M24+M30</f>
        <v>0</v>
      </c>
      <c r="N31" s="130">
        <f t="shared" si="23"/>
        <v>0</v>
      </c>
      <c r="O31" s="130">
        <f t="shared" si="23"/>
        <v>0</v>
      </c>
      <c r="P31" s="130">
        <f t="shared" si="23"/>
        <v>0</v>
      </c>
      <c r="Q31" s="130">
        <f t="shared" si="23"/>
        <v>0</v>
      </c>
      <c r="R31" s="130">
        <f t="shared" si="23"/>
        <v>0</v>
      </c>
      <c r="S31" s="130">
        <f t="shared" si="23"/>
        <v>0</v>
      </c>
      <c r="T31" s="130">
        <f t="shared" si="23"/>
        <v>0</v>
      </c>
      <c r="U31" s="130">
        <f t="shared" si="23"/>
        <v>0</v>
      </c>
      <c r="V31" s="130">
        <f t="shared" si="23"/>
        <v>0</v>
      </c>
      <c r="W31" s="130">
        <f t="shared" si="23"/>
        <v>0</v>
      </c>
      <c r="X31" s="130">
        <f t="shared" si="23"/>
        <v>0</v>
      </c>
      <c r="Y31" s="130">
        <f t="shared" si="23"/>
        <v>0</v>
      </c>
    </row>
    <row r="32" spans="1:25" x14ac:dyDescent="0.45">
      <c r="A32" s="134" t="s">
        <v>395</v>
      </c>
      <c r="B32" s="138">
        <f>B11-B31+1</f>
        <v>506121.30000000016</v>
      </c>
      <c r="C32" s="138">
        <f>C11-C31</f>
        <v>523408.29600000003</v>
      </c>
      <c r="D32" s="138">
        <f t="shared" ref="D32:J32" si="24">D11-D31</f>
        <v>514321.95999999996</v>
      </c>
      <c r="E32" s="138">
        <f t="shared" si="24"/>
        <v>423209.76</v>
      </c>
      <c r="F32" s="138">
        <f t="shared" si="24"/>
        <v>446865.80000000005</v>
      </c>
      <c r="G32" s="138">
        <f t="shared" si="24"/>
        <v>465393.04000000004</v>
      </c>
      <c r="H32" s="138">
        <f t="shared" si="24"/>
        <v>445596.4</v>
      </c>
      <c r="I32" s="138">
        <f t="shared" si="24"/>
        <v>323907.24</v>
      </c>
      <c r="J32" s="138">
        <f t="shared" si="24"/>
        <v>405237.95999999996</v>
      </c>
      <c r="K32" s="138">
        <v>0</v>
      </c>
      <c r="L32" s="138">
        <v>0</v>
      </c>
      <c r="M32" s="138">
        <v>0</v>
      </c>
      <c r="N32" s="138">
        <v>0</v>
      </c>
      <c r="O32" s="138">
        <v>0</v>
      </c>
      <c r="P32" s="138">
        <v>0</v>
      </c>
      <c r="Q32" s="138">
        <v>0</v>
      </c>
      <c r="R32" s="138">
        <v>0</v>
      </c>
      <c r="S32" s="138">
        <v>0</v>
      </c>
      <c r="T32" s="138">
        <v>0</v>
      </c>
      <c r="U32" s="138">
        <v>0</v>
      </c>
      <c r="V32" s="138">
        <v>0</v>
      </c>
      <c r="W32" s="138">
        <v>0</v>
      </c>
      <c r="X32" s="138">
        <v>0</v>
      </c>
      <c r="Y32" s="138">
        <v>0</v>
      </c>
    </row>
    <row r="33" spans="1:25" x14ac:dyDescent="0.45">
      <c r="A33" s="129" t="s">
        <v>373</v>
      </c>
      <c r="B33" s="139">
        <f t="shared" ref="B33" si="25">B20*2.5%</f>
        <v>146627.31249999997</v>
      </c>
      <c r="C33" s="139">
        <f>C20*1.25%</f>
        <v>72443.391250000001</v>
      </c>
      <c r="D33" s="139">
        <f t="shared" ref="D33:F33" si="26">D20*1.25%</f>
        <v>72653.912500000006</v>
      </c>
      <c r="E33" s="139">
        <f>E20*1.25%</f>
        <v>77908.787500000006</v>
      </c>
      <c r="F33" s="139">
        <f t="shared" si="26"/>
        <v>80788.3125</v>
      </c>
      <c r="G33" s="139">
        <f>G20*1.625%</f>
        <v>110703.32</v>
      </c>
      <c r="H33" s="139">
        <f>H20*1.625%</f>
        <v>117973.29375</v>
      </c>
      <c r="I33" s="139">
        <f>I20*2%</f>
        <v>153975.94</v>
      </c>
      <c r="J33" s="139">
        <f>J20*2%</f>
        <v>171261.26</v>
      </c>
      <c r="K33" s="139">
        <v>0</v>
      </c>
      <c r="L33" s="139">
        <v>0</v>
      </c>
      <c r="M33" s="139">
        <v>0</v>
      </c>
      <c r="N33" s="139">
        <v>0</v>
      </c>
      <c r="O33" s="139">
        <v>0</v>
      </c>
      <c r="P33" s="139">
        <v>0</v>
      </c>
      <c r="Q33" s="139">
        <v>0</v>
      </c>
      <c r="R33" s="139">
        <v>0</v>
      </c>
      <c r="S33" s="139">
        <v>0</v>
      </c>
      <c r="T33" s="139">
        <v>0</v>
      </c>
      <c r="U33" s="139">
        <v>0</v>
      </c>
      <c r="V33" s="139">
        <v>0</v>
      </c>
      <c r="W33" s="139">
        <v>0</v>
      </c>
      <c r="X33" s="139">
        <v>0</v>
      </c>
      <c r="Y33" s="139">
        <v>0</v>
      </c>
    </row>
    <row r="34" spans="1:25" ht="16.5" x14ac:dyDescent="0.45">
      <c r="A34" s="140" t="s">
        <v>396</v>
      </c>
      <c r="B34" s="141">
        <f t="shared" ref="B34:Y34" si="27">B11/B20</f>
        <v>0.17541303909529138</v>
      </c>
      <c r="C34" s="141">
        <f t="shared" ref="C34" si="28">C11/C20</f>
        <v>0.18077304601611952</v>
      </c>
      <c r="D34" s="141">
        <f t="shared" si="27"/>
        <v>0.18355326012208908</v>
      </c>
      <c r="E34" s="141">
        <f t="shared" si="27"/>
        <v>0.16598865692782089</v>
      </c>
      <c r="F34" s="141">
        <f t="shared" si="27"/>
        <v>0.16765188033850811</v>
      </c>
      <c r="G34" s="141">
        <f t="shared" si="27"/>
        <v>0.16431193075329628</v>
      </c>
      <c r="H34" s="141">
        <f t="shared" si="27"/>
        <v>0.15956663285075059</v>
      </c>
      <c r="I34" s="141">
        <f t="shared" si="27"/>
        <v>0.13831186872442539</v>
      </c>
      <c r="J34" s="141">
        <f t="shared" si="27"/>
        <v>0.13961230928699228</v>
      </c>
      <c r="K34" s="141">
        <f t="shared" si="27"/>
        <v>0.14540281989189735</v>
      </c>
      <c r="L34" s="141">
        <f t="shared" si="27"/>
        <v>0.14992275982743947</v>
      </c>
      <c r="M34" s="141" t="e">
        <f t="shared" si="27"/>
        <v>#DIV/0!</v>
      </c>
      <c r="N34" s="141" t="e">
        <f t="shared" si="27"/>
        <v>#DIV/0!</v>
      </c>
      <c r="O34" s="141" t="e">
        <f t="shared" si="27"/>
        <v>#DIV/0!</v>
      </c>
      <c r="P34" s="141" t="e">
        <f t="shared" si="27"/>
        <v>#DIV/0!</v>
      </c>
      <c r="Q34" s="141" t="e">
        <f t="shared" si="27"/>
        <v>#DIV/0!</v>
      </c>
      <c r="R34" s="141" t="e">
        <f t="shared" si="27"/>
        <v>#DIV/0!</v>
      </c>
      <c r="S34" s="141" t="e">
        <f t="shared" si="27"/>
        <v>#DIV/0!</v>
      </c>
      <c r="T34" s="141" t="e">
        <f t="shared" si="27"/>
        <v>#DIV/0!</v>
      </c>
      <c r="U34" s="141" t="e">
        <f t="shared" si="27"/>
        <v>#DIV/0!</v>
      </c>
      <c r="V34" s="141" t="e">
        <f t="shared" si="27"/>
        <v>#DIV/0!</v>
      </c>
      <c r="W34" s="141" t="e">
        <f t="shared" si="27"/>
        <v>#DIV/0!</v>
      </c>
      <c r="X34" s="141" t="e">
        <f t="shared" si="27"/>
        <v>#DIV/0!</v>
      </c>
      <c r="Y34" s="141" t="e">
        <f t="shared" si="27"/>
        <v>#DIV/0!</v>
      </c>
    </row>
    <row r="35" spans="1:25" x14ac:dyDescent="0.45">
      <c r="A35" s="133" t="s">
        <v>162</v>
      </c>
      <c r="B35" s="142">
        <f t="shared" ref="B35:Y35" si="29">B12/B20</f>
        <v>0.12818786745477589</v>
      </c>
      <c r="C35" s="142">
        <f t="shared" ref="C35" si="30">C12/C20</f>
        <v>0.13192697546444584</v>
      </c>
      <c r="D35" s="142">
        <f t="shared" si="29"/>
        <v>0.13618227373508618</v>
      </c>
      <c r="E35" s="142">
        <f t="shared" si="29"/>
        <v>0.12546274064398705</v>
      </c>
      <c r="F35" s="142">
        <f t="shared" si="29"/>
        <v>0.12979352675549449</v>
      </c>
      <c r="G35" s="142">
        <f t="shared" si="29"/>
        <v>0.12966494591128794</v>
      </c>
      <c r="H35" s="142">
        <f t="shared" si="29"/>
        <v>0.12834510691959045</v>
      </c>
      <c r="I35" s="142">
        <f t="shared" si="29"/>
        <v>0.11278047726157736</v>
      </c>
      <c r="J35" s="142">
        <f t="shared" si="29"/>
        <v>0.11548484461693205</v>
      </c>
      <c r="K35" s="142">
        <f t="shared" si="29"/>
        <v>0.11823322546958218</v>
      </c>
      <c r="L35" s="142">
        <f t="shared" si="29"/>
        <v>0.11729631449022362</v>
      </c>
      <c r="M35" s="142" t="e">
        <f t="shared" si="29"/>
        <v>#DIV/0!</v>
      </c>
      <c r="N35" s="142" t="e">
        <f t="shared" si="29"/>
        <v>#DIV/0!</v>
      </c>
      <c r="O35" s="142" t="e">
        <f t="shared" si="29"/>
        <v>#DIV/0!</v>
      </c>
      <c r="P35" s="142" t="e">
        <f t="shared" si="29"/>
        <v>#DIV/0!</v>
      </c>
      <c r="Q35" s="142" t="e">
        <f t="shared" si="29"/>
        <v>#DIV/0!</v>
      </c>
      <c r="R35" s="142" t="e">
        <f t="shared" si="29"/>
        <v>#DIV/0!</v>
      </c>
      <c r="S35" s="142" t="e">
        <f t="shared" si="29"/>
        <v>#DIV/0!</v>
      </c>
      <c r="T35" s="142" t="e">
        <f t="shared" si="29"/>
        <v>#DIV/0!</v>
      </c>
      <c r="U35" s="142" t="e">
        <f t="shared" si="29"/>
        <v>#DIV/0!</v>
      </c>
      <c r="V35" s="142" t="e">
        <f t="shared" si="29"/>
        <v>#DIV/0!</v>
      </c>
      <c r="W35" s="142" t="e">
        <f t="shared" si="29"/>
        <v>#DIV/0!</v>
      </c>
      <c r="X35" s="142" t="e">
        <f t="shared" si="29"/>
        <v>#DIV/0!</v>
      </c>
      <c r="Y35" s="142" t="e">
        <f t="shared" si="29"/>
        <v>#DIV/0!</v>
      </c>
    </row>
    <row r="36" spans="1:25" x14ac:dyDescent="0.45">
      <c r="A36" s="133" t="s">
        <v>303</v>
      </c>
      <c r="B36" s="142">
        <f t="shared" ref="B36:Y36" si="31">B13/B20</f>
        <v>0.1209252539495328</v>
      </c>
      <c r="C36" s="142">
        <f t="shared" ref="C36" si="32">C13/C20</f>
        <v>0.12372988543658218</v>
      </c>
      <c r="D36" s="142">
        <f t="shared" si="31"/>
        <v>0.12799001017323053</v>
      </c>
      <c r="E36" s="142">
        <f t="shared" si="31"/>
        <v>0.11788978233039502</v>
      </c>
      <c r="F36" s="142">
        <f t="shared" si="31"/>
        <v>0.12249110909452404</v>
      </c>
      <c r="G36" s="142">
        <f t="shared" si="31"/>
        <v>0.122712884762625</v>
      </c>
      <c r="H36" s="142">
        <f t="shared" si="31"/>
        <v>0.1218419825631087</v>
      </c>
      <c r="I36" s="142">
        <f t="shared" si="31"/>
        <v>0.10656509062389877</v>
      </c>
      <c r="J36" s="142">
        <f t="shared" si="31"/>
        <v>0.10995446372402025</v>
      </c>
      <c r="K36" s="142">
        <f t="shared" si="31"/>
        <v>0.11258655750702591</v>
      </c>
      <c r="L36" s="142">
        <f t="shared" si="31"/>
        <v>0.1117190723882666</v>
      </c>
      <c r="M36" s="142" t="e">
        <f t="shared" si="31"/>
        <v>#DIV/0!</v>
      </c>
      <c r="N36" s="142" t="e">
        <f t="shared" si="31"/>
        <v>#DIV/0!</v>
      </c>
      <c r="O36" s="142" t="e">
        <f t="shared" si="31"/>
        <v>#DIV/0!</v>
      </c>
      <c r="P36" s="142" t="e">
        <f t="shared" si="31"/>
        <v>#DIV/0!</v>
      </c>
      <c r="Q36" s="142" t="e">
        <f t="shared" si="31"/>
        <v>#DIV/0!</v>
      </c>
      <c r="R36" s="142" t="e">
        <f t="shared" si="31"/>
        <v>#DIV/0!</v>
      </c>
      <c r="S36" s="142" t="e">
        <f t="shared" si="31"/>
        <v>#DIV/0!</v>
      </c>
      <c r="T36" s="142" t="e">
        <f t="shared" si="31"/>
        <v>#DIV/0!</v>
      </c>
      <c r="U36" s="142" t="e">
        <f t="shared" si="31"/>
        <v>#DIV/0!</v>
      </c>
      <c r="V36" s="142" t="e">
        <f t="shared" si="31"/>
        <v>#DIV/0!</v>
      </c>
      <c r="W36" s="142" t="e">
        <f t="shared" si="31"/>
        <v>#DIV/0!</v>
      </c>
      <c r="X36" s="142" t="e">
        <f t="shared" si="31"/>
        <v>#DIV/0!</v>
      </c>
      <c r="Y36" s="142" t="e">
        <f t="shared" si="31"/>
        <v>#DIV/0!</v>
      </c>
    </row>
    <row r="37" spans="1:25" x14ac:dyDescent="0.45">
      <c r="A37" s="83"/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</row>
    <row r="38" spans="1:25" x14ac:dyDescent="0.45">
      <c r="A38" s="83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5"/>
      <c r="S38" s="145"/>
    </row>
    <row r="39" spans="1:25" x14ac:dyDescent="0.45"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3"/>
      <c r="S39" s="143"/>
    </row>
    <row r="40" spans="1:25" x14ac:dyDescent="0.45"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3"/>
      <c r="S40" s="143"/>
    </row>
    <row r="41" spans="1:25" x14ac:dyDescent="0.45"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3"/>
      <c r="S41" s="143"/>
    </row>
    <row r="42" spans="1:25" x14ac:dyDescent="0.45">
      <c r="A42" s="83"/>
      <c r="B42" s="144"/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3"/>
      <c r="S42" s="143"/>
    </row>
    <row r="43" spans="1:25" x14ac:dyDescent="0.45"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5"/>
      <c r="S43" s="145"/>
    </row>
    <row r="44" spans="1:25" x14ac:dyDescent="0.45"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5"/>
      <c r="S44" s="145"/>
    </row>
    <row r="45" spans="1:25" x14ac:dyDescent="0.45"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5"/>
      <c r="S45" s="145"/>
    </row>
    <row r="46" spans="1:25" x14ac:dyDescent="0.45">
      <c r="A46" s="83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3"/>
      <c r="S46" s="143"/>
    </row>
    <row r="47" spans="1:25" x14ac:dyDescent="0.45"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3"/>
      <c r="S47" s="143"/>
    </row>
    <row r="48" spans="1:25" x14ac:dyDescent="0.45"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3"/>
      <c r="S48" s="143"/>
    </row>
    <row r="49" spans="1:19" x14ac:dyDescent="0.45"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3"/>
      <c r="S49" s="143"/>
    </row>
    <row r="50" spans="1:19" x14ac:dyDescent="0.45"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</row>
    <row r="51" spans="1:19" x14ac:dyDescent="0.45">
      <c r="A51" s="83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</row>
    <row r="52" spans="1:19" x14ac:dyDescent="0.45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</row>
    <row r="53" spans="1:19" x14ac:dyDescent="0.45"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</row>
    <row r="54" spans="1:19" x14ac:dyDescent="0.45">
      <c r="B54" s="143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</row>
    <row r="55" spans="1:19" x14ac:dyDescent="0.45">
      <c r="B55" s="143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</row>
    <row r="56" spans="1:19" x14ac:dyDescent="0.45"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</row>
    <row r="57" spans="1:19" x14ac:dyDescent="0.45">
      <c r="B57" s="143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5"/>
      <c r="S57" s="145"/>
    </row>
    <row r="58" spans="1:19" x14ac:dyDescent="0.45"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</row>
    <row r="59" spans="1:19" x14ac:dyDescent="0.45">
      <c r="A59" s="83"/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</row>
    <row r="60" spans="1:19" x14ac:dyDescent="0.45"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</row>
    <row r="61" spans="1:19" x14ac:dyDescent="0.4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</row>
    <row r="62" spans="1:19" x14ac:dyDescent="0.4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</row>
    <row r="63" spans="1:19" x14ac:dyDescent="0.4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</row>
    <row r="64" spans="1:19" x14ac:dyDescent="0.4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</row>
    <row r="65" spans="1:19" x14ac:dyDescent="0.4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</row>
    <row r="66" spans="1:19" x14ac:dyDescent="0.45">
      <c r="A66" s="83"/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</row>
    <row r="67" spans="1:19" x14ac:dyDescent="0.4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5"/>
      <c r="S67" s="145"/>
    </row>
    <row r="68" spans="1:19" x14ac:dyDescent="0.4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5"/>
      <c r="S68" s="145"/>
    </row>
    <row r="69" spans="1:19" x14ac:dyDescent="0.4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5"/>
      <c r="S69" s="145"/>
    </row>
    <row r="70" spans="1:19" x14ac:dyDescent="0.45">
      <c r="B70" s="143"/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</row>
    <row r="71" spans="1:19" x14ac:dyDescent="0.45">
      <c r="B71" s="143"/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</row>
    <row r="73" spans="1:19" x14ac:dyDescent="0.45">
      <c r="A73" s="83"/>
    </row>
    <row r="74" spans="1:19" x14ac:dyDescent="0.45">
      <c r="B74" s="143"/>
      <c r="C74" s="143"/>
      <c r="D74" s="143"/>
      <c r="E74" s="143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3"/>
      <c r="Q74" s="143"/>
    </row>
    <row r="75" spans="1:19" x14ac:dyDescent="0.45"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</row>
    <row r="76" spans="1:19" x14ac:dyDescent="0.45">
      <c r="B76" s="143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</row>
    <row r="77" spans="1:19" x14ac:dyDescent="0.45">
      <c r="B77" s="143"/>
      <c r="C77" s="143"/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</row>
    <row r="78" spans="1:19" x14ac:dyDescent="0.45">
      <c r="B78" s="143"/>
      <c r="C78" s="143"/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</row>
    <row r="79" spans="1:19" x14ac:dyDescent="0.45">
      <c r="B79" s="143"/>
      <c r="C79" s="143"/>
      <c r="D79" s="143"/>
      <c r="E79" s="143"/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</row>
    <row r="80" spans="1:19" x14ac:dyDescent="0.45">
      <c r="B80" s="143"/>
      <c r="C80" s="143"/>
      <c r="D80" s="143"/>
      <c r="E80" s="143"/>
      <c r="F80" s="143"/>
      <c r="G80" s="143"/>
      <c r="H80" s="143"/>
      <c r="I80" s="143"/>
      <c r="J80" s="143"/>
      <c r="K80" s="143"/>
      <c r="L80" s="143"/>
      <c r="M80" s="143"/>
      <c r="N80" s="143"/>
      <c r="O80" s="143"/>
      <c r="P80" s="143"/>
      <c r="Q80" s="143"/>
    </row>
    <row r="81" spans="1:25" x14ac:dyDescent="0.45"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3"/>
      <c r="O81" s="143"/>
      <c r="P81" s="143"/>
      <c r="Q81" s="143"/>
    </row>
    <row r="82" spans="1:25" x14ac:dyDescent="0.45">
      <c r="B82" s="143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143"/>
    </row>
    <row r="83" spans="1:25" x14ac:dyDescent="0.45">
      <c r="A83" s="83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83"/>
      <c r="S83" s="83"/>
      <c r="T83" s="83"/>
      <c r="U83" s="83"/>
      <c r="V83" s="83"/>
      <c r="W83" s="83"/>
      <c r="X83" s="83"/>
      <c r="Y83" s="83"/>
    </row>
  </sheetData>
  <hyperlinks>
    <hyperlink ref="B6" location="Índice!A1" display="Índice"/>
    <hyperlink ref="Q6" location="Índice!A1" display="Índice"/>
  </hyperlinks>
  <pageMargins left="0.51181102362204722" right="0.51181102362204722" top="0.78740157480314965" bottom="0.78740157480314965" header="0.31496062992125984" footer="0.31496062992125984"/>
  <pageSetup paperSize="9" scale="35" orientation="landscape" r:id="rId1"/>
  <ignoredErrors>
    <ignoredError sqref="G33" 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Y71"/>
  <sheetViews>
    <sheetView showGridLines="0" zoomScaleNormal="100" workbookViewId="0">
      <pane xSplit="1" ySplit="9" topLeftCell="E10" activePane="bottomRight" state="frozen"/>
      <selection activeCell="C8" sqref="C8"/>
      <selection pane="topRight" activeCell="C8" sqref="C8"/>
      <selection pane="bottomLeft" activeCell="C8" sqref="C8"/>
      <selection pane="bottomRight" activeCell="L8" sqref="L8"/>
    </sheetView>
  </sheetViews>
  <sheetFormatPr defaultColWidth="9.1796875" defaultRowHeight="16" x14ac:dyDescent="0.45"/>
  <cols>
    <col min="1" max="1" width="63.7265625" style="62" customWidth="1"/>
    <col min="2" max="9" width="12" style="62" customWidth="1"/>
    <col min="10" max="10" width="14" style="62" customWidth="1"/>
    <col min="11" max="13" width="12" style="62" customWidth="1"/>
    <col min="14" max="14" width="16" style="62" bestFit="1" customWidth="1"/>
    <col min="15" max="15" width="15.453125" style="62" bestFit="1" customWidth="1"/>
    <col min="16" max="16" width="12" style="62" customWidth="1"/>
    <col min="17" max="20" width="11.54296875" style="62" bestFit="1" customWidth="1"/>
    <col min="21" max="25" width="9.1796875" style="62"/>
    <col min="26" max="16384" width="9.1796875" style="59"/>
  </cols>
  <sheetData>
    <row r="1" spans="1:25" ht="16.5" x14ac:dyDescent="0.45">
      <c r="A1" s="55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</row>
    <row r="2" spans="1:25" ht="16.5" x14ac:dyDescent="0.45">
      <c r="A2" s="92" t="s">
        <v>121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5" ht="6.75" customHeight="1" x14ac:dyDescent="0.45">
      <c r="A3" s="91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 t="s">
        <v>122</v>
      </c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</row>
    <row r="4" spans="1:25" ht="16.5" x14ac:dyDescent="0.45">
      <c r="A4" s="92" t="s">
        <v>13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 t="s">
        <v>122</v>
      </c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</row>
    <row r="5" spans="1:25" ht="6.75" customHeight="1" x14ac:dyDescent="0.45">
      <c r="A5" s="55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 t="s">
        <v>122</v>
      </c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</row>
    <row r="6" spans="1:25" ht="16.5" x14ac:dyDescent="0.45">
      <c r="A6" s="93"/>
      <c r="B6" s="59"/>
      <c r="C6" s="63" t="s">
        <v>15</v>
      </c>
      <c r="D6" s="59"/>
      <c r="E6" s="59"/>
      <c r="F6" s="59"/>
      <c r="G6" s="59"/>
      <c r="H6" s="59"/>
      <c r="I6" s="59"/>
      <c r="J6" s="59"/>
      <c r="L6" s="59"/>
      <c r="M6" s="59" t="s">
        <v>122</v>
      </c>
      <c r="Q6" s="59"/>
      <c r="R6" s="59"/>
      <c r="S6" s="63" t="s">
        <v>15</v>
      </c>
      <c r="T6" s="59"/>
      <c r="U6" s="59"/>
      <c r="V6" s="59"/>
      <c r="W6" s="59"/>
      <c r="X6" s="59"/>
      <c r="Y6" s="59"/>
    </row>
    <row r="7" spans="1:25" ht="17.25" customHeight="1" x14ac:dyDescent="0.45">
      <c r="A7" s="108" t="s">
        <v>108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</row>
    <row r="8" spans="1:25" x14ac:dyDescent="0.45">
      <c r="A8" s="59"/>
      <c r="B8" s="59"/>
      <c r="C8" s="59"/>
      <c r="D8" s="59"/>
      <c r="E8" s="59"/>
      <c r="F8" s="59" t="s">
        <v>122</v>
      </c>
      <c r="G8" s="59" t="s">
        <v>122</v>
      </c>
      <c r="H8" s="59" t="s">
        <v>122</v>
      </c>
      <c r="I8" s="59" t="s">
        <v>122</v>
      </c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</row>
    <row r="9" spans="1:25" x14ac:dyDescent="0.45">
      <c r="A9" s="64"/>
      <c r="B9" s="65">
        <v>43891</v>
      </c>
      <c r="C9" s="65">
        <f>EDATE(B9,3)</f>
        <v>43983</v>
      </c>
      <c r="D9" s="65">
        <f>EDATE(C9,3)</f>
        <v>44075</v>
      </c>
      <c r="E9" s="65">
        <f>EDATE(D9,3)</f>
        <v>44166</v>
      </c>
      <c r="F9" s="65">
        <f t="shared" ref="F9:Y9" si="0">EDATE(E9,3)</f>
        <v>44256</v>
      </c>
      <c r="G9" s="65">
        <f t="shared" si="0"/>
        <v>44348</v>
      </c>
      <c r="H9" s="65">
        <f t="shared" si="0"/>
        <v>44440</v>
      </c>
      <c r="I9" s="65">
        <f t="shared" si="0"/>
        <v>44531</v>
      </c>
      <c r="J9" s="65">
        <f t="shared" si="0"/>
        <v>44621</v>
      </c>
      <c r="K9" s="65">
        <f t="shared" si="0"/>
        <v>44713</v>
      </c>
      <c r="L9" s="65">
        <f t="shared" si="0"/>
        <v>44805</v>
      </c>
      <c r="M9" s="65">
        <f t="shared" si="0"/>
        <v>44896</v>
      </c>
      <c r="N9" s="65">
        <f t="shared" si="0"/>
        <v>44986</v>
      </c>
      <c r="O9" s="65">
        <f t="shared" si="0"/>
        <v>45078</v>
      </c>
      <c r="P9" s="65">
        <f t="shared" si="0"/>
        <v>45170</v>
      </c>
      <c r="Q9" s="65">
        <f t="shared" si="0"/>
        <v>45261</v>
      </c>
      <c r="R9" s="65">
        <f t="shared" si="0"/>
        <v>45352</v>
      </c>
      <c r="S9" s="65">
        <f t="shared" si="0"/>
        <v>45444</v>
      </c>
      <c r="T9" s="65">
        <f t="shared" si="0"/>
        <v>45536</v>
      </c>
      <c r="U9" s="65">
        <f t="shared" si="0"/>
        <v>45627</v>
      </c>
      <c r="V9" s="65">
        <f t="shared" si="0"/>
        <v>45717</v>
      </c>
      <c r="W9" s="65">
        <f t="shared" si="0"/>
        <v>45809</v>
      </c>
      <c r="X9" s="65">
        <f t="shared" si="0"/>
        <v>45901</v>
      </c>
      <c r="Y9" s="65">
        <f t="shared" si="0"/>
        <v>45992</v>
      </c>
    </row>
    <row r="10" spans="1:25" x14ac:dyDescent="0.45">
      <c r="A10" s="66" t="s">
        <v>109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8"/>
      <c r="V10" s="148"/>
      <c r="W10" s="148"/>
      <c r="X10" s="148"/>
      <c r="Y10" s="148"/>
    </row>
    <row r="11" spans="1:25" s="73" customFormat="1" x14ac:dyDescent="0.45">
      <c r="A11" s="149" t="s">
        <v>355</v>
      </c>
      <c r="B11" s="100">
        <v>0</v>
      </c>
      <c r="C11" s="100">
        <v>0</v>
      </c>
      <c r="D11" s="100">
        <v>0</v>
      </c>
      <c r="E11" s="100">
        <v>42220</v>
      </c>
      <c r="F11" s="150">
        <v>0</v>
      </c>
      <c r="G11" s="100">
        <v>22029</v>
      </c>
      <c r="H11" s="150">
        <v>0</v>
      </c>
      <c r="I11" s="100">
        <v>25388</v>
      </c>
      <c r="J11" s="150">
        <v>0</v>
      </c>
      <c r="K11" s="150">
        <v>0</v>
      </c>
      <c r="L11" s="100">
        <v>39126</v>
      </c>
      <c r="M11" s="143"/>
      <c r="N11" s="143"/>
      <c r="O11" s="150"/>
      <c r="P11" s="150"/>
      <c r="Q11" s="151"/>
      <c r="R11" s="152"/>
      <c r="S11" s="151"/>
      <c r="T11" s="152"/>
      <c r="U11" s="152"/>
      <c r="V11" s="152"/>
      <c r="W11" s="152"/>
      <c r="X11" s="152"/>
      <c r="Y11" s="152"/>
    </row>
    <row r="12" spans="1:25" x14ac:dyDescent="0.45">
      <c r="A12" s="153" t="s">
        <v>356</v>
      </c>
      <c r="B12" s="154">
        <v>0</v>
      </c>
      <c r="C12" s="154">
        <v>0</v>
      </c>
      <c r="D12" s="154">
        <v>0</v>
      </c>
      <c r="E12" s="154">
        <v>0.77610800000000002</v>
      </c>
      <c r="F12" s="155">
        <v>0</v>
      </c>
      <c r="G12" s="154">
        <v>0.2024745</v>
      </c>
      <c r="H12" s="155">
        <v>0</v>
      </c>
      <c r="I12" s="154">
        <v>0.23455599999999999</v>
      </c>
      <c r="J12" s="155">
        <v>0</v>
      </c>
      <c r="K12" s="155">
        <v>0</v>
      </c>
      <c r="L12" s="154">
        <v>0.36088799999999999</v>
      </c>
      <c r="M12" s="143"/>
      <c r="N12" s="143"/>
      <c r="O12" s="155"/>
      <c r="P12" s="155"/>
      <c r="Q12" s="156"/>
      <c r="R12" s="157"/>
      <c r="S12" s="156"/>
      <c r="T12" s="157"/>
      <c r="U12" s="157"/>
      <c r="V12" s="157"/>
      <c r="W12" s="157"/>
      <c r="X12" s="157"/>
      <c r="Y12" s="157"/>
    </row>
    <row r="13" spans="1:25" x14ac:dyDescent="0.45">
      <c r="A13" s="153" t="s">
        <v>357</v>
      </c>
      <c r="B13" s="154">
        <v>0</v>
      </c>
      <c r="C13" s="154">
        <v>0</v>
      </c>
      <c r="D13" s="154">
        <v>0</v>
      </c>
      <c r="E13" s="154">
        <v>0.85371900000000001</v>
      </c>
      <c r="F13" s="155">
        <v>0</v>
      </c>
      <c r="G13" s="154">
        <v>0.2256273</v>
      </c>
      <c r="H13" s="155">
        <v>0</v>
      </c>
      <c r="I13" s="154">
        <v>0.25801200000000002</v>
      </c>
      <c r="J13" s="155">
        <v>0</v>
      </c>
      <c r="K13" s="155">
        <v>0</v>
      </c>
      <c r="L13" s="154">
        <v>0.39697700000000002</v>
      </c>
      <c r="M13" s="143"/>
      <c r="N13" s="143"/>
      <c r="O13" s="155"/>
      <c r="P13" s="155"/>
      <c r="Q13" s="155"/>
      <c r="R13" s="155"/>
      <c r="S13" s="155"/>
      <c r="T13" s="155"/>
      <c r="U13" s="158"/>
      <c r="V13" s="158"/>
      <c r="W13" s="158"/>
      <c r="X13" s="158"/>
      <c r="Y13" s="158"/>
    </row>
    <row r="14" spans="1:25" x14ac:dyDescent="0.45">
      <c r="A14" s="153"/>
      <c r="B14" s="154"/>
      <c r="C14" s="154"/>
      <c r="D14" s="154"/>
      <c r="E14" s="155"/>
      <c r="F14" s="155"/>
      <c r="G14" s="155"/>
      <c r="H14" s="155"/>
      <c r="I14" s="155"/>
      <c r="J14" s="155"/>
      <c r="K14" s="155"/>
      <c r="L14" s="155"/>
      <c r="M14" s="143"/>
      <c r="N14" s="143"/>
      <c r="O14" s="155"/>
      <c r="P14" s="155"/>
      <c r="Q14" s="155"/>
      <c r="R14" s="155"/>
      <c r="S14" s="155"/>
      <c r="T14" s="155"/>
      <c r="U14" s="158"/>
      <c r="V14" s="158"/>
      <c r="W14" s="158"/>
      <c r="X14" s="158"/>
      <c r="Y14" s="158"/>
    </row>
    <row r="15" spans="1:25" s="73" customFormat="1" x14ac:dyDescent="0.45">
      <c r="A15" s="149" t="s">
        <v>358</v>
      </c>
      <c r="B15" s="100">
        <v>0</v>
      </c>
      <c r="C15" s="100">
        <v>0</v>
      </c>
      <c r="D15" s="100">
        <v>0</v>
      </c>
      <c r="E15" s="100">
        <v>35887</v>
      </c>
      <c r="F15" s="150">
        <v>0</v>
      </c>
      <c r="G15" s="100">
        <v>18725</v>
      </c>
      <c r="H15" s="150">
        <v>0</v>
      </c>
      <c r="I15" s="100">
        <v>21579</v>
      </c>
      <c r="J15" s="150">
        <v>0</v>
      </c>
      <c r="K15" s="150">
        <v>0</v>
      </c>
      <c r="L15" s="100">
        <v>33257</v>
      </c>
      <c r="M15" s="143"/>
      <c r="N15" s="143"/>
      <c r="O15" s="150"/>
      <c r="P15" s="150"/>
      <c r="Q15" s="150"/>
      <c r="R15" s="150"/>
      <c r="S15" s="150"/>
      <c r="T15" s="150"/>
      <c r="U15" s="98"/>
      <c r="V15" s="98"/>
      <c r="W15" s="98"/>
      <c r="X15" s="98"/>
      <c r="Y15" s="98"/>
    </row>
    <row r="16" spans="1:25" x14ac:dyDescent="0.45">
      <c r="A16" s="153" t="s">
        <v>356</v>
      </c>
      <c r="B16" s="154">
        <v>0</v>
      </c>
      <c r="C16" s="154">
        <v>0</v>
      </c>
      <c r="D16" s="154">
        <v>0</v>
      </c>
      <c r="E16" s="154">
        <v>0.65969199999999995</v>
      </c>
      <c r="F16" s="155">
        <v>0</v>
      </c>
      <c r="G16" s="154">
        <v>0.172103325</v>
      </c>
      <c r="H16" s="155">
        <v>0</v>
      </c>
      <c r="I16" s="154">
        <v>0.19937259999999998</v>
      </c>
      <c r="J16" s="155">
        <v>0</v>
      </c>
      <c r="K16" s="155">
        <v>0</v>
      </c>
      <c r="L16" s="154">
        <v>0.30675503999999998</v>
      </c>
      <c r="M16" s="143" t="s">
        <v>122</v>
      </c>
      <c r="N16" s="143"/>
      <c r="O16" s="143"/>
      <c r="P16" s="143"/>
      <c r="Q16" s="143"/>
      <c r="R16" s="143"/>
      <c r="S16" s="143"/>
      <c r="T16" s="143"/>
    </row>
    <row r="17" spans="1:20" x14ac:dyDescent="0.45">
      <c r="A17" s="153" t="s">
        <v>357</v>
      </c>
      <c r="B17" s="154">
        <v>0</v>
      </c>
      <c r="C17" s="154">
        <v>0</v>
      </c>
      <c r="D17" s="154">
        <v>0</v>
      </c>
      <c r="E17" s="154">
        <v>0.72565999999999997</v>
      </c>
      <c r="F17" s="155">
        <v>0</v>
      </c>
      <c r="G17" s="154">
        <v>0.19178320500000001</v>
      </c>
      <c r="H17" s="155">
        <v>0</v>
      </c>
      <c r="I17" s="154">
        <v>0.21931020000000001</v>
      </c>
      <c r="J17" s="155">
        <v>0</v>
      </c>
      <c r="K17" s="155">
        <v>0</v>
      </c>
      <c r="L17" s="154">
        <v>0.33743029000000002</v>
      </c>
      <c r="M17" s="143" t="s">
        <v>122</v>
      </c>
      <c r="N17" s="143"/>
      <c r="O17" s="143"/>
      <c r="P17" s="143"/>
      <c r="Q17" s="143"/>
      <c r="R17" s="143"/>
      <c r="S17" s="143"/>
      <c r="T17" s="143"/>
    </row>
    <row r="18" spans="1:20" x14ac:dyDescent="0.45">
      <c r="A18" s="83"/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</row>
    <row r="19" spans="1:20" x14ac:dyDescent="0.45">
      <c r="A19" s="149" t="s">
        <v>399</v>
      </c>
      <c r="B19" s="100">
        <v>0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3514</v>
      </c>
      <c r="J19" s="100">
        <v>0</v>
      </c>
      <c r="K19" s="100">
        <v>23491</v>
      </c>
      <c r="L19" s="100">
        <v>0</v>
      </c>
      <c r="M19" s="159"/>
      <c r="N19" s="143"/>
      <c r="O19" s="143"/>
      <c r="P19" s="159"/>
      <c r="Q19" s="143"/>
      <c r="R19" s="143"/>
      <c r="S19" s="143"/>
      <c r="T19" s="143"/>
    </row>
    <row r="20" spans="1:20" x14ac:dyDescent="0.45">
      <c r="A20" s="153" t="s">
        <v>400</v>
      </c>
      <c r="B20" s="154">
        <v>0</v>
      </c>
      <c r="C20" s="154">
        <v>0</v>
      </c>
      <c r="D20" s="154">
        <v>0</v>
      </c>
      <c r="E20" s="154">
        <v>0</v>
      </c>
      <c r="F20" s="154">
        <v>0</v>
      </c>
      <c r="G20" s="154">
        <v>0</v>
      </c>
      <c r="H20" s="154">
        <v>0</v>
      </c>
      <c r="I20" s="154">
        <v>3.2461999999999998E-2</v>
      </c>
      <c r="J20" s="154">
        <v>0</v>
      </c>
      <c r="K20" s="154">
        <v>0.21591604</v>
      </c>
      <c r="L20" s="154">
        <v>0</v>
      </c>
      <c r="M20" s="159"/>
      <c r="N20" s="143"/>
      <c r="O20" s="143"/>
      <c r="P20" s="159"/>
      <c r="Q20" s="143"/>
      <c r="R20" s="143"/>
      <c r="S20" s="143"/>
      <c r="T20" s="143"/>
    </row>
    <row r="21" spans="1:20" x14ac:dyDescent="0.45">
      <c r="A21" s="153" t="s">
        <v>401</v>
      </c>
      <c r="B21" s="154">
        <v>0</v>
      </c>
      <c r="C21" s="154">
        <v>0</v>
      </c>
      <c r="D21" s="154">
        <v>0</v>
      </c>
      <c r="E21" s="154">
        <v>0</v>
      </c>
      <c r="F21" s="154">
        <v>0</v>
      </c>
      <c r="G21" s="154">
        <v>0</v>
      </c>
      <c r="H21" s="154">
        <v>0</v>
      </c>
      <c r="I21" s="154">
        <v>3.5728000000000003E-2</v>
      </c>
      <c r="J21" s="154">
        <v>0</v>
      </c>
      <c r="K21" s="154">
        <v>0.23750764999999999</v>
      </c>
      <c r="L21" s="154">
        <v>0</v>
      </c>
      <c r="M21" s="159"/>
      <c r="N21" s="143"/>
      <c r="O21" s="143"/>
      <c r="P21" s="159"/>
      <c r="Q21" s="143"/>
      <c r="R21" s="143"/>
      <c r="S21" s="143"/>
      <c r="T21" s="143"/>
    </row>
    <row r="22" spans="1:20" x14ac:dyDescent="0.45"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 t="s">
        <v>122</v>
      </c>
      <c r="N22" s="143" t="s">
        <v>122</v>
      </c>
      <c r="O22" s="143"/>
      <c r="P22" s="159"/>
      <c r="Q22" s="143"/>
      <c r="R22" s="143"/>
      <c r="S22" s="143"/>
      <c r="T22" s="143"/>
    </row>
    <row r="23" spans="1:20" x14ac:dyDescent="0.45"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43"/>
      <c r="R23" s="143"/>
      <c r="S23" s="143"/>
      <c r="T23" s="143"/>
    </row>
    <row r="24" spans="1:20" x14ac:dyDescent="0.45">
      <c r="B24" s="143"/>
      <c r="C24" s="143"/>
      <c r="D24" s="143"/>
      <c r="E24" s="143"/>
      <c r="F24" s="143"/>
      <c r="G24" s="143"/>
      <c r="H24" s="159"/>
      <c r="I24" s="159"/>
      <c r="J24" s="159"/>
      <c r="K24" s="143"/>
      <c r="L24" s="143"/>
      <c r="M24" s="143"/>
      <c r="N24" s="143"/>
      <c r="O24" s="143"/>
      <c r="P24" s="143"/>
      <c r="Q24" s="143"/>
      <c r="R24" s="143"/>
      <c r="S24" s="143"/>
      <c r="T24" s="143"/>
    </row>
    <row r="25" spans="1:20" x14ac:dyDescent="0.45">
      <c r="A25" s="83"/>
      <c r="B25" s="143"/>
      <c r="C25" s="143"/>
      <c r="D25" s="143"/>
      <c r="E25" s="143"/>
      <c r="F25" s="143"/>
      <c r="G25" s="143"/>
      <c r="H25" s="159"/>
      <c r="I25" s="159"/>
      <c r="J25" s="159"/>
      <c r="K25" s="143"/>
      <c r="L25" s="143"/>
      <c r="M25" s="143"/>
      <c r="N25" s="143"/>
      <c r="O25" s="143"/>
      <c r="P25" s="143"/>
      <c r="Q25" s="143"/>
      <c r="R25" s="143"/>
      <c r="S25" s="143"/>
      <c r="T25" s="143"/>
    </row>
    <row r="26" spans="1:20" x14ac:dyDescent="0.45">
      <c r="A26" s="83"/>
      <c r="B26" s="144"/>
      <c r="C26" s="144"/>
      <c r="D26" s="144"/>
      <c r="E26" s="144"/>
      <c r="F26" s="144"/>
      <c r="G26" s="144"/>
      <c r="H26" s="159"/>
      <c r="I26" s="159"/>
      <c r="J26" s="159"/>
      <c r="K26" s="144"/>
      <c r="N26" s="144"/>
      <c r="O26" s="144"/>
      <c r="P26" s="144"/>
      <c r="Q26" s="145"/>
      <c r="R26" s="145"/>
      <c r="S26" s="145"/>
      <c r="T26" s="145"/>
    </row>
    <row r="27" spans="1:20" x14ac:dyDescent="0.45"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 t="s">
        <v>122</v>
      </c>
      <c r="O27" s="144"/>
      <c r="P27" s="144"/>
      <c r="Q27" s="143"/>
      <c r="R27" s="143"/>
      <c r="S27" s="143"/>
      <c r="T27" s="143"/>
    </row>
    <row r="28" spans="1:20" x14ac:dyDescent="0.45"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3"/>
      <c r="R28" s="143"/>
      <c r="S28" s="143"/>
      <c r="T28" s="143"/>
    </row>
    <row r="29" spans="1:20" x14ac:dyDescent="0.45"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3"/>
      <c r="R29" s="143"/>
      <c r="S29" s="143"/>
      <c r="T29" s="143"/>
    </row>
    <row r="30" spans="1:20" x14ac:dyDescent="0.45">
      <c r="A30" s="8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3"/>
      <c r="R30" s="143"/>
      <c r="S30" s="143"/>
      <c r="T30" s="143"/>
    </row>
    <row r="31" spans="1:20" x14ac:dyDescent="0.45"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5"/>
      <c r="R31" s="145"/>
      <c r="S31" s="145"/>
      <c r="T31" s="145"/>
    </row>
    <row r="32" spans="1:20" x14ac:dyDescent="0.45"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5"/>
      <c r="R32" s="145"/>
      <c r="S32" s="145"/>
      <c r="T32" s="145"/>
    </row>
    <row r="33" spans="1:20" x14ac:dyDescent="0.45"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5"/>
      <c r="R33" s="145"/>
      <c r="S33" s="145"/>
      <c r="T33" s="145"/>
    </row>
    <row r="34" spans="1:20" x14ac:dyDescent="0.45">
      <c r="A34" s="83"/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3"/>
      <c r="R34" s="143"/>
      <c r="S34" s="143"/>
      <c r="T34" s="143"/>
    </row>
    <row r="35" spans="1:20" x14ac:dyDescent="0.45"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3"/>
      <c r="R35" s="143"/>
      <c r="S35" s="143"/>
      <c r="T35" s="143"/>
    </row>
    <row r="36" spans="1:20" x14ac:dyDescent="0.45"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3"/>
      <c r="R36" s="143"/>
      <c r="S36" s="143"/>
      <c r="T36" s="143"/>
    </row>
    <row r="37" spans="1:20" x14ac:dyDescent="0.45"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3"/>
      <c r="R37" s="143"/>
      <c r="S37" s="143"/>
      <c r="T37" s="143"/>
    </row>
    <row r="38" spans="1:20" x14ac:dyDescent="0.45"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</row>
    <row r="39" spans="1:20" x14ac:dyDescent="0.45">
      <c r="A39" s="83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</row>
    <row r="40" spans="1:20" x14ac:dyDescent="0.45"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</row>
    <row r="41" spans="1:20" x14ac:dyDescent="0.45"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</row>
    <row r="42" spans="1:20" x14ac:dyDescent="0.45"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</row>
    <row r="43" spans="1:20" x14ac:dyDescent="0.45"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</row>
    <row r="44" spans="1:20" x14ac:dyDescent="0.45"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</row>
    <row r="45" spans="1:20" x14ac:dyDescent="0.45"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5"/>
      <c r="R45" s="145"/>
      <c r="S45" s="145"/>
      <c r="T45" s="145"/>
    </row>
    <row r="46" spans="1:20" x14ac:dyDescent="0.45"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</row>
    <row r="47" spans="1:20" x14ac:dyDescent="0.45">
      <c r="A47" s="83"/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</row>
    <row r="48" spans="1:20" x14ac:dyDescent="0.45"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</row>
    <row r="49" spans="1:20" x14ac:dyDescent="0.45">
      <c r="B49" s="143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</row>
    <row r="50" spans="1:20" x14ac:dyDescent="0.45">
      <c r="B50" s="143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</row>
    <row r="51" spans="1:20" x14ac:dyDescent="0.45"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</row>
    <row r="52" spans="1:20" x14ac:dyDescent="0.45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</row>
    <row r="53" spans="1:20" x14ac:dyDescent="0.45"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</row>
    <row r="54" spans="1:20" x14ac:dyDescent="0.45">
      <c r="A54" s="83"/>
      <c r="B54" s="143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</row>
    <row r="55" spans="1:20" x14ac:dyDescent="0.45">
      <c r="B55" s="143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5"/>
      <c r="R55" s="145"/>
      <c r="S55" s="145"/>
      <c r="T55" s="145"/>
    </row>
    <row r="56" spans="1:20" x14ac:dyDescent="0.45"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5"/>
      <c r="R56" s="145"/>
      <c r="S56" s="145"/>
      <c r="T56" s="145"/>
    </row>
    <row r="57" spans="1:20" x14ac:dyDescent="0.45">
      <c r="B57" s="143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5"/>
      <c r="R57" s="145"/>
      <c r="S57" s="145"/>
      <c r="T57" s="145"/>
    </row>
    <row r="58" spans="1:20" x14ac:dyDescent="0.45"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</row>
    <row r="59" spans="1:20" x14ac:dyDescent="0.45"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</row>
    <row r="61" spans="1:20" x14ac:dyDescent="0.45">
      <c r="A61" s="83"/>
    </row>
    <row r="62" spans="1:20" x14ac:dyDescent="0.4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</row>
    <row r="63" spans="1:20" x14ac:dyDescent="0.4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</row>
    <row r="64" spans="1:20" x14ac:dyDescent="0.4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</row>
    <row r="65" spans="1:25" x14ac:dyDescent="0.4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</row>
    <row r="66" spans="1:25" x14ac:dyDescent="0.45"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</row>
    <row r="67" spans="1:25" x14ac:dyDescent="0.4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</row>
    <row r="68" spans="1:25" x14ac:dyDescent="0.4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</row>
    <row r="69" spans="1:25" x14ac:dyDescent="0.4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</row>
    <row r="70" spans="1:25" x14ac:dyDescent="0.45">
      <c r="B70" s="143"/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</row>
    <row r="71" spans="1:25" x14ac:dyDescent="0.45">
      <c r="A71" s="83"/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83"/>
      <c r="R71" s="83"/>
      <c r="S71" s="83"/>
      <c r="T71" s="83"/>
      <c r="U71" s="83"/>
      <c r="V71" s="83"/>
      <c r="W71" s="83"/>
      <c r="X71" s="83"/>
      <c r="Y71" s="83"/>
    </row>
  </sheetData>
  <hyperlinks>
    <hyperlink ref="C6" location="Índice!A1" display="Índice"/>
    <hyperlink ref="S6" location="Índice!A1" display="Índice"/>
  </hyperlinks>
  <pageMargins left="0.51181102362204722" right="0.51181102362204722" top="0.78740157480314965" bottom="0.78740157480314965" header="0.31496062992125984" footer="0.31496062992125984"/>
  <pageSetup paperSize="9" scale="3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Y83"/>
  <sheetViews>
    <sheetView showGridLines="0" zoomScaleNormal="100" workbookViewId="0">
      <pane xSplit="1" ySplit="9" topLeftCell="E10" activePane="bottomRight" state="frozen"/>
      <selection activeCell="C8" sqref="C8"/>
      <selection pane="topRight" activeCell="C8" sqref="C8"/>
      <selection pane="bottomLeft" activeCell="C8" sqref="C8"/>
      <selection pane="bottomRight" activeCell="L8" sqref="L8"/>
    </sheetView>
  </sheetViews>
  <sheetFormatPr defaultColWidth="9.1796875" defaultRowHeight="16" x14ac:dyDescent="0.45"/>
  <cols>
    <col min="1" max="1" width="61.81640625" style="62" bestFit="1" customWidth="1"/>
    <col min="2" max="14" width="12" style="62" customWidth="1"/>
    <col min="15" max="17" width="11.54296875" style="62" bestFit="1" customWidth="1"/>
    <col min="18" max="18" width="11.54296875" style="59" bestFit="1" customWidth="1"/>
    <col min="19" max="16384" width="9.1796875" style="59"/>
  </cols>
  <sheetData>
    <row r="1" spans="1:25" ht="16.5" x14ac:dyDescent="0.45">
      <c r="A1" s="55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25" ht="16.5" x14ac:dyDescent="0.45">
      <c r="A2" s="92" t="s">
        <v>121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25" ht="6.75" customHeight="1" x14ac:dyDescent="0.45">
      <c r="A3" s="91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</row>
    <row r="4" spans="1:25" ht="16.5" x14ac:dyDescent="0.45">
      <c r="A4" s="92" t="s">
        <v>13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</row>
    <row r="5" spans="1:25" ht="6.75" customHeight="1" x14ac:dyDescent="0.45">
      <c r="A5" s="55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</row>
    <row r="6" spans="1:25" ht="16.5" x14ac:dyDescent="0.45">
      <c r="A6" s="160"/>
      <c r="B6" s="63" t="s">
        <v>15</v>
      </c>
      <c r="C6" s="59"/>
      <c r="D6" s="59"/>
      <c r="E6" s="59"/>
      <c r="F6" s="59"/>
      <c r="G6" s="59"/>
      <c r="H6" s="59"/>
      <c r="M6" s="63"/>
      <c r="O6" s="59"/>
      <c r="P6" s="59"/>
      <c r="Q6" s="63" t="s">
        <v>15</v>
      </c>
    </row>
    <row r="7" spans="1:25" ht="17.25" customHeight="1" x14ac:dyDescent="0.45">
      <c r="A7" s="98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</row>
    <row r="8" spans="1:25" x14ac:dyDescent="0.45">
      <c r="A8" s="59"/>
      <c r="B8" s="59"/>
      <c r="C8" s="59"/>
      <c r="D8" s="59"/>
      <c r="E8" s="59"/>
      <c r="F8" s="59"/>
      <c r="G8" s="59"/>
      <c r="H8" s="59"/>
      <c r="I8" s="59"/>
      <c r="J8" s="59" t="s">
        <v>122</v>
      </c>
      <c r="K8" s="59" t="s">
        <v>122</v>
      </c>
      <c r="L8" s="59" t="s">
        <v>122</v>
      </c>
      <c r="M8" s="59"/>
      <c r="N8" s="59"/>
      <c r="O8" s="59"/>
      <c r="P8" s="59"/>
      <c r="Q8" s="59"/>
    </row>
    <row r="9" spans="1:25" x14ac:dyDescent="0.45">
      <c r="A9" s="64"/>
      <c r="B9" s="65">
        <v>43891</v>
      </c>
      <c r="C9" s="65">
        <f>EDATE(B9,3)</f>
        <v>43983</v>
      </c>
      <c r="D9" s="65">
        <f t="shared" ref="D9:Y9" si="0">EDATE(C9,3)</f>
        <v>44075</v>
      </c>
      <c r="E9" s="65">
        <f t="shared" si="0"/>
        <v>44166</v>
      </c>
      <c r="F9" s="65">
        <f t="shared" si="0"/>
        <v>44256</v>
      </c>
      <c r="G9" s="65">
        <f t="shared" si="0"/>
        <v>44348</v>
      </c>
      <c r="H9" s="65">
        <f t="shared" si="0"/>
        <v>44440</v>
      </c>
      <c r="I9" s="65">
        <f t="shared" si="0"/>
        <v>44531</v>
      </c>
      <c r="J9" s="65">
        <f t="shared" si="0"/>
        <v>44621</v>
      </c>
      <c r="K9" s="65">
        <f t="shared" si="0"/>
        <v>44713</v>
      </c>
      <c r="L9" s="65">
        <f t="shared" si="0"/>
        <v>44805</v>
      </c>
      <c r="M9" s="65">
        <f t="shared" si="0"/>
        <v>44896</v>
      </c>
      <c r="N9" s="65">
        <f t="shared" si="0"/>
        <v>44986</v>
      </c>
      <c r="O9" s="65">
        <f t="shared" si="0"/>
        <v>45078</v>
      </c>
      <c r="P9" s="65">
        <f t="shared" si="0"/>
        <v>45170</v>
      </c>
      <c r="Q9" s="65">
        <f t="shared" si="0"/>
        <v>45261</v>
      </c>
      <c r="R9" s="65">
        <f t="shared" si="0"/>
        <v>45352</v>
      </c>
      <c r="S9" s="65">
        <f t="shared" si="0"/>
        <v>45444</v>
      </c>
      <c r="T9" s="65">
        <f t="shared" si="0"/>
        <v>45536</v>
      </c>
      <c r="U9" s="65">
        <f t="shared" si="0"/>
        <v>45627</v>
      </c>
      <c r="V9" s="65">
        <f t="shared" si="0"/>
        <v>45717</v>
      </c>
      <c r="W9" s="65">
        <f t="shared" si="0"/>
        <v>45809</v>
      </c>
      <c r="X9" s="65">
        <f t="shared" si="0"/>
        <v>45901</v>
      </c>
      <c r="Y9" s="65">
        <f t="shared" si="0"/>
        <v>45992</v>
      </c>
    </row>
    <row r="10" spans="1:25" x14ac:dyDescent="0.45">
      <c r="A10" s="161" t="s">
        <v>397</v>
      </c>
      <c r="B10" s="162"/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</row>
    <row r="11" spans="1:25" x14ac:dyDescent="0.45">
      <c r="A11" s="73" t="s">
        <v>170</v>
      </c>
      <c r="B11" s="100">
        <v>3923367</v>
      </c>
      <c r="C11" s="100">
        <v>4069539</v>
      </c>
      <c r="D11" s="100">
        <v>4475362</v>
      </c>
      <c r="E11" s="100">
        <v>5368816</v>
      </c>
      <c r="F11" s="100">
        <v>5845938</v>
      </c>
      <c r="G11" s="100">
        <v>6516503</v>
      </c>
      <c r="H11" s="100">
        <v>7186850</v>
      </c>
      <c r="I11" s="100">
        <v>7928000</v>
      </c>
      <c r="J11" s="100">
        <v>8706197</v>
      </c>
      <c r="K11" s="100">
        <v>9036504</v>
      </c>
      <c r="L11" s="100">
        <v>9466076</v>
      </c>
      <c r="M11" s="155"/>
      <c r="N11" s="155"/>
      <c r="O11" s="156"/>
      <c r="P11" s="157"/>
      <c r="Q11" s="156"/>
      <c r="R11" s="156"/>
      <c r="S11" s="156"/>
      <c r="T11" s="156"/>
      <c r="U11" s="156"/>
      <c r="V11" s="156"/>
      <c r="W11" s="156"/>
      <c r="X11" s="156"/>
      <c r="Y11" s="156"/>
    </row>
    <row r="12" spans="1:25" x14ac:dyDescent="0.45">
      <c r="A12" s="83" t="s">
        <v>171</v>
      </c>
      <c r="B12" s="100">
        <f t="shared" ref="B12:J12" si="1">SUM(B16:B25)</f>
        <v>1191481</v>
      </c>
      <c r="C12" s="100">
        <f t="shared" si="1"/>
        <v>1120953</v>
      </c>
      <c r="D12" s="100">
        <f t="shared" si="1"/>
        <v>1064595</v>
      </c>
      <c r="E12" s="100">
        <f t="shared" si="1"/>
        <v>1065997</v>
      </c>
      <c r="F12" s="100">
        <f t="shared" si="1"/>
        <v>1011114</v>
      </c>
      <c r="G12" s="100">
        <f t="shared" si="1"/>
        <v>996315</v>
      </c>
      <c r="H12" s="100">
        <f t="shared" si="1"/>
        <v>927107</v>
      </c>
      <c r="I12" s="100">
        <f t="shared" si="1"/>
        <v>976340</v>
      </c>
      <c r="J12" s="100">
        <f t="shared" si="1"/>
        <v>1003691</v>
      </c>
      <c r="K12" s="100">
        <v>928456</v>
      </c>
      <c r="L12" s="100">
        <v>879115</v>
      </c>
      <c r="M12" s="155"/>
      <c r="N12" s="155"/>
      <c r="O12" s="156"/>
      <c r="P12" s="157"/>
      <c r="Q12" s="156"/>
      <c r="R12" s="156"/>
      <c r="S12" s="156"/>
      <c r="T12" s="156"/>
      <c r="U12" s="156"/>
      <c r="V12" s="156"/>
      <c r="W12" s="156"/>
      <c r="X12" s="156"/>
      <c r="Y12" s="156"/>
    </row>
    <row r="13" spans="1:25" x14ac:dyDescent="0.45">
      <c r="A13" s="163" t="s">
        <v>379</v>
      </c>
      <c r="B13" s="96">
        <v>0</v>
      </c>
      <c r="C13" s="96">
        <v>0</v>
      </c>
      <c r="D13" s="96">
        <v>0</v>
      </c>
      <c r="E13" s="96">
        <v>0</v>
      </c>
      <c r="F13" s="96">
        <v>0</v>
      </c>
      <c r="G13" s="96">
        <v>0</v>
      </c>
      <c r="H13" s="96">
        <v>0</v>
      </c>
      <c r="I13" s="96">
        <v>0</v>
      </c>
      <c r="J13" s="96">
        <v>0</v>
      </c>
      <c r="K13" s="96">
        <v>389944</v>
      </c>
      <c r="L13" s="96">
        <v>356976</v>
      </c>
      <c r="M13" s="155"/>
      <c r="N13" s="155"/>
      <c r="O13" s="156"/>
      <c r="P13" s="157"/>
      <c r="Q13" s="156"/>
      <c r="R13" s="156"/>
      <c r="S13" s="156"/>
      <c r="T13" s="156"/>
      <c r="U13" s="156"/>
      <c r="V13" s="156"/>
      <c r="W13" s="156"/>
      <c r="X13" s="156"/>
      <c r="Y13" s="156"/>
    </row>
    <row r="14" spans="1:25" x14ac:dyDescent="0.45">
      <c r="A14" s="163" t="s">
        <v>380</v>
      </c>
      <c r="B14" s="96">
        <v>0</v>
      </c>
      <c r="C14" s="96">
        <v>0</v>
      </c>
      <c r="D14" s="96">
        <v>0</v>
      </c>
      <c r="E14" s="96">
        <v>0</v>
      </c>
      <c r="F14" s="96">
        <v>0</v>
      </c>
      <c r="G14" s="96">
        <v>0</v>
      </c>
      <c r="H14" s="96">
        <v>0</v>
      </c>
      <c r="I14" s="96">
        <v>0</v>
      </c>
      <c r="J14" s="96">
        <v>0</v>
      </c>
      <c r="K14" s="96">
        <v>30941</v>
      </c>
      <c r="L14" s="96">
        <v>27909</v>
      </c>
      <c r="M14" s="155"/>
      <c r="N14" s="155"/>
      <c r="O14" s="156"/>
      <c r="P14" s="157"/>
      <c r="Q14" s="156"/>
      <c r="R14" s="156"/>
      <c r="S14" s="156"/>
      <c r="T14" s="156"/>
      <c r="U14" s="156"/>
      <c r="V14" s="156"/>
      <c r="W14" s="156"/>
      <c r="X14" s="156"/>
      <c r="Y14" s="156"/>
    </row>
    <row r="15" spans="1:25" x14ac:dyDescent="0.45">
      <c r="A15" s="163" t="s">
        <v>381</v>
      </c>
      <c r="B15" s="96">
        <v>0</v>
      </c>
      <c r="C15" s="96">
        <v>0</v>
      </c>
      <c r="D15" s="96">
        <v>0</v>
      </c>
      <c r="E15" s="96">
        <v>0</v>
      </c>
      <c r="F15" s="96">
        <v>0</v>
      </c>
      <c r="G15" s="96">
        <v>0</v>
      </c>
      <c r="H15" s="96">
        <v>0</v>
      </c>
      <c r="I15" s="96">
        <v>0</v>
      </c>
      <c r="J15" s="96">
        <v>0</v>
      </c>
      <c r="K15" s="96">
        <v>507571</v>
      </c>
      <c r="L15" s="96">
        <v>494230</v>
      </c>
      <c r="M15" s="155"/>
      <c r="N15" s="155"/>
      <c r="O15" s="156"/>
      <c r="P15" s="157"/>
      <c r="Q15" s="156"/>
      <c r="R15" s="156"/>
      <c r="S15" s="156"/>
      <c r="T15" s="156"/>
      <c r="U15" s="156"/>
      <c r="V15" s="156"/>
      <c r="W15" s="156"/>
      <c r="X15" s="156"/>
      <c r="Y15" s="156"/>
    </row>
    <row r="16" spans="1:25" x14ac:dyDescent="0.45">
      <c r="A16" s="164" t="s">
        <v>172</v>
      </c>
      <c r="B16" s="96">
        <v>249297</v>
      </c>
      <c r="C16" s="96">
        <v>218157</v>
      </c>
      <c r="D16" s="96">
        <v>204701</v>
      </c>
      <c r="E16" s="96">
        <v>180534</v>
      </c>
      <c r="F16" s="96">
        <v>172633</v>
      </c>
      <c r="G16" s="96">
        <v>162116</v>
      </c>
      <c r="H16" s="96">
        <v>152433</v>
      </c>
      <c r="I16" s="96">
        <v>167754</v>
      </c>
      <c r="J16" s="96">
        <v>169430</v>
      </c>
      <c r="K16" s="96">
        <v>0</v>
      </c>
      <c r="L16" s="96">
        <v>0</v>
      </c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</row>
    <row r="17" spans="1:25" x14ac:dyDescent="0.45">
      <c r="A17" s="164" t="s">
        <v>173</v>
      </c>
      <c r="B17" s="96">
        <v>134319</v>
      </c>
      <c r="C17" s="96">
        <v>151077</v>
      </c>
      <c r="D17" s="96">
        <v>145688</v>
      </c>
      <c r="E17" s="96">
        <v>133957</v>
      </c>
      <c r="F17" s="96">
        <v>123190</v>
      </c>
      <c r="G17" s="96">
        <v>94717</v>
      </c>
      <c r="H17" s="96">
        <v>74963</v>
      </c>
      <c r="I17" s="96">
        <v>69270</v>
      </c>
      <c r="J17" s="96">
        <v>58628</v>
      </c>
      <c r="K17" s="96">
        <v>0</v>
      </c>
      <c r="L17" s="96">
        <v>0</v>
      </c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</row>
    <row r="18" spans="1:25" x14ac:dyDescent="0.45">
      <c r="A18" s="164" t="s">
        <v>174</v>
      </c>
      <c r="B18" s="96">
        <v>118291</v>
      </c>
      <c r="C18" s="96">
        <v>109261</v>
      </c>
      <c r="D18" s="96">
        <v>104049</v>
      </c>
      <c r="E18" s="96">
        <v>100240</v>
      </c>
      <c r="F18" s="96">
        <v>117266</v>
      </c>
      <c r="G18" s="96">
        <v>89440</v>
      </c>
      <c r="H18" s="96">
        <v>58864</v>
      </c>
      <c r="I18" s="96">
        <v>59953</v>
      </c>
      <c r="J18" s="96">
        <v>75826</v>
      </c>
      <c r="K18" s="96">
        <v>0</v>
      </c>
      <c r="L18" s="96">
        <v>0</v>
      </c>
      <c r="M18" s="165"/>
      <c r="N18" s="16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</row>
    <row r="19" spans="1:25" x14ac:dyDescent="0.45">
      <c r="A19" s="164" t="s">
        <v>175</v>
      </c>
      <c r="B19" s="96">
        <v>77876</v>
      </c>
      <c r="C19" s="96">
        <v>84911</v>
      </c>
      <c r="D19" s="96">
        <v>103599</v>
      </c>
      <c r="E19" s="96">
        <v>128000</v>
      </c>
      <c r="F19" s="96">
        <v>103375</v>
      </c>
      <c r="G19" s="96">
        <v>100220</v>
      </c>
      <c r="H19" s="96">
        <v>129731</v>
      </c>
      <c r="I19" s="96">
        <v>159903</v>
      </c>
      <c r="J19" s="96">
        <v>159783</v>
      </c>
      <c r="K19" s="96">
        <v>0</v>
      </c>
      <c r="L19" s="96">
        <v>0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</row>
    <row r="20" spans="1:25" x14ac:dyDescent="0.45">
      <c r="A20" s="164" t="s">
        <v>176</v>
      </c>
      <c r="B20" s="96">
        <v>112004</v>
      </c>
      <c r="C20" s="96">
        <v>108730</v>
      </c>
      <c r="D20" s="96">
        <v>91321</v>
      </c>
      <c r="E20" s="96">
        <v>100601</v>
      </c>
      <c r="F20" s="96">
        <v>91729</v>
      </c>
      <c r="G20" s="96">
        <v>138785</v>
      </c>
      <c r="H20" s="96">
        <v>113437</v>
      </c>
      <c r="I20" s="96">
        <v>161507</v>
      </c>
      <c r="J20" s="96">
        <v>168946</v>
      </c>
      <c r="K20" s="96">
        <v>0</v>
      </c>
      <c r="L20" s="96">
        <v>0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</row>
    <row r="21" spans="1:25" x14ac:dyDescent="0.45">
      <c r="A21" s="164" t="s">
        <v>177</v>
      </c>
      <c r="B21" s="96">
        <v>88044</v>
      </c>
      <c r="C21" s="96">
        <v>87328</v>
      </c>
      <c r="D21" s="96">
        <v>89872</v>
      </c>
      <c r="E21" s="96">
        <v>89953</v>
      </c>
      <c r="F21" s="96">
        <v>81658</v>
      </c>
      <c r="G21" s="96">
        <v>81295</v>
      </c>
      <c r="H21" s="96">
        <v>83341</v>
      </c>
      <c r="I21" s="96">
        <v>85588</v>
      </c>
      <c r="J21" s="96">
        <v>125389</v>
      </c>
      <c r="K21" s="96">
        <v>0</v>
      </c>
      <c r="L21" s="96">
        <v>0</v>
      </c>
      <c r="M21" s="166"/>
      <c r="N21" s="166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</row>
    <row r="22" spans="1:25" x14ac:dyDescent="0.45">
      <c r="A22" s="164" t="s">
        <v>178</v>
      </c>
      <c r="B22" s="96">
        <v>64296</v>
      </c>
      <c r="C22" s="96">
        <v>63392</v>
      </c>
      <c r="D22" s="96">
        <v>39795</v>
      </c>
      <c r="E22" s="96">
        <v>0</v>
      </c>
      <c r="F22" s="155">
        <v>0</v>
      </c>
      <c r="G22" s="96">
        <v>0</v>
      </c>
      <c r="H22" s="96">
        <v>0</v>
      </c>
      <c r="I22" s="96">
        <v>0</v>
      </c>
      <c r="J22" s="96">
        <v>0</v>
      </c>
      <c r="K22" s="96">
        <v>0</v>
      </c>
      <c r="L22" s="96">
        <v>0</v>
      </c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</row>
    <row r="23" spans="1:25" x14ac:dyDescent="0.45">
      <c r="A23" s="164" t="s">
        <v>179</v>
      </c>
      <c r="B23" s="96">
        <v>33659</v>
      </c>
      <c r="C23" s="96">
        <v>29743</v>
      </c>
      <c r="D23" s="96">
        <v>34620</v>
      </c>
      <c r="E23" s="96">
        <v>25889</v>
      </c>
      <c r="F23" s="155">
        <v>0</v>
      </c>
      <c r="G23" s="96">
        <v>24502</v>
      </c>
      <c r="H23" s="96">
        <v>22829</v>
      </c>
      <c r="I23" s="96">
        <v>20370</v>
      </c>
      <c r="J23" s="96">
        <v>25333</v>
      </c>
      <c r="K23" s="96">
        <v>0</v>
      </c>
      <c r="L23" s="96">
        <v>0</v>
      </c>
      <c r="M23" s="155"/>
      <c r="N23" s="155"/>
      <c r="O23" s="155"/>
      <c r="P23" s="155"/>
      <c r="Q23" s="155"/>
      <c r="R23" s="155"/>
      <c r="S23" s="155"/>
      <c r="T23" s="155"/>
      <c r="U23" s="155"/>
      <c r="V23" s="155"/>
      <c r="W23" s="155"/>
      <c r="X23" s="155"/>
      <c r="Y23" s="155"/>
    </row>
    <row r="24" spans="1:25" x14ac:dyDescent="0.45">
      <c r="A24" s="164" t="s">
        <v>180</v>
      </c>
      <c r="B24" s="96">
        <v>0</v>
      </c>
      <c r="C24" s="96">
        <v>0</v>
      </c>
      <c r="D24" s="96">
        <v>0</v>
      </c>
      <c r="E24" s="96">
        <v>39780</v>
      </c>
      <c r="F24" s="96">
        <v>55558</v>
      </c>
      <c r="G24" s="96">
        <v>56004</v>
      </c>
      <c r="H24" s="96">
        <v>55387</v>
      </c>
      <c r="I24" s="96">
        <v>52950</v>
      </c>
      <c r="J24" s="96">
        <v>49789</v>
      </c>
      <c r="K24" s="96">
        <v>0</v>
      </c>
      <c r="L24" s="96">
        <v>0</v>
      </c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</row>
    <row r="25" spans="1:25" ht="16.5" thickBot="1" x14ac:dyDescent="0.5">
      <c r="A25" s="164" t="s">
        <v>181</v>
      </c>
      <c r="B25" s="167">
        <f>247391+33697+32607</f>
        <v>313695</v>
      </c>
      <c r="C25" s="167">
        <v>268354</v>
      </c>
      <c r="D25" s="167">
        <v>250950</v>
      </c>
      <c r="E25" s="167">
        <v>267043</v>
      </c>
      <c r="F25" s="96">
        <v>265705</v>
      </c>
      <c r="G25" s="96">
        <v>249236</v>
      </c>
      <c r="H25" s="96">
        <v>236122</v>
      </c>
      <c r="I25" s="96">
        <f>219415-20370</f>
        <v>199045</v>
      </c>
      <c r="J25" s="96">
        <v>170567</v>
      </c>
      <c r="K25" s="96">
        <v>0</v>
      </c>
      <c r="L25" s="96">
        <v>0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</row>
    <row r="26" spans="1:25" ht="16.5" thickBot="1" x14ac:dyDescent="0.5">
      <c r="A26" s="168" t="s">
        <v>213</v>
      </c>
      <c r="B26" s="169">
        <f t="shared" ref="B26:L26" si="2">B11+B12</f>
        <v>5114848</v>
      </c>
      <c r="C26" s="169">
        <f t="shared" si="2"/>
        <v>5190492</v>
      </c>
      <c r="D26" s="169">
        <f t="shared" si="2"/>
        <v>5539957</v>
      </c>
      <c r="E26" s="169">
        <f t="shared" si="2"/>
        <v>6434813</v>
      </c>
      <c r="F26" s="169">
        <f t="shared" si="2"/>
        <v>6857052</v>
      </c>
      <c r="G26" s="169">
        <f t="shared" si="2"/>
        <v>7512818</v>
      </c>
      <c r="H26" s="169">
        <f t="shared" si="2"/>
        <v>8113957</v>
      </c>
      <c r="I26" s="169">
        <f t="shared" si="2"/>
        <v>8904340</v>
      </c>
      <c r="J26" s="169">
        <f t="shared" si="2"/>
        <v>9709888</v>
      </c>
      <c r="K26" s="169">
        <f t="shared" si="2"/>
        <v>9964960</v>
      </c>
      <c r="L26" s="169">
        <f t="shared" si="2"/>
        <v>10345191</v>
      </c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</row>
    <row r="27" spans="1:25" x14ac:dyDescent="0.45"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</row>
    <row r="28" spans="1:25" x14ac:dyDescent="0.45">
      <c r="A28" s="67" t="s">
        <v>196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</row>
    <row r="29" spans="1:25" x14ac:dyDescent="0.45">
      <c r="A29" s="62" t="s">
        <v>182</v>
      </c>
      <c r="B29" s="104">
        <v>1401118</v>
      </c>
      <c r="C29" s="104">
        <v>1612131</v>
      </c>
      <c r="D29" s="104">
        <v>2023403</v>
      </c>
      <c r="E29" s="104">
        <v>2906158</v>
      </c>
      <c r="F29" s="104">
        <v>3262116</v>
      </c>
      <c r="G29" s="104">
        <v>3875894</v>
      </c>
      <c r="H29" s="104">
        <v>4459758</v>
      </c>
      <c r="I29" s="104">
        <v>4845430</v>
      </c>
      <c r="J29" s="104">
        <v>4803185</v>
      </c>
      <c r="K29" s="104">
        <v>4982168</v>
      </c>
      <c r="L29" s="104">
        <v>5153898</v>
      </c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</row>
    <row r="30" spans="1:25" x14ac:dyDescent="0.45">
      <c r="A30" s="62" t="s">
        <v>183</v>
      </c>
      <c r="B30" s="104">
        <v>1386162</v>
      </c>
      <c r="C30" s="104">
        <v>1367923</v>
      </c>
      <c r="D30" s="104">
        <v>1368576</v>
      </c>
      <c r="E30" s="104">
        <v>1362349</v>
      </c>
      <c r="F30" s="138">
        <v>1454982</v>
      </c>
      <c r="G30" s="104">
        <v>1460767</v>
      </c>
      <c r="H30" s="104">
        <v>1508412</v>
      </c>
      <c r="I30" s="104">
        <v>1583125</v>
      </c>
      <c r="J30" s="104">
        <v>1736510</v>
      </c>
      <c r="K30" s="138">
        <v>1651559</v>
      </c>
      <c r="L30" s="138">
        <v>1710761</v>
      </c>
      <c r="M30" s="159"/>
      <c r="N30" s="159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</row>
    <row r="31" spans="1:25" x14ac:dyDescent="0.45">
      <c r="A31" s="62" t="s">
        <v>184</v>
      </c>
      <c r="B31" s="104">
        <v>549534</v>
      </c>
      <c r="C31" s="104">
        <v>577812</v>
      </c>
      <c r="D31" s="104">
        <v>580577</v>
      </c>
      <c r="E31" s="104">
        <v>603126</v>
      </c>
      <c r="F31" s="138">
        <v>593317</v>
      </c>
      <c r="G31" s="104">
        <v>583066</v>
      </c>
      <c r="H31" s="104">
        <v>594653</v>
      </c>
      <c r="I31" s="104">
        <v>625077</v>
      </c>
      <c r="J31" s="104">
        <v>612032</v>
      </c>
      <c r="K31" s="138">
        <v>589156</v>
      </c>
      <c r="L31" s="138">
        <v>564385</v>
      </c>
      <c r="M31" s="159"/>
      <c r="N31" s="159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</row>
    <row r="32" spans="1:25" x14ac:dyDescent="0.45">
      <c r="A32" s="62" t="s">
        <v>185</v>
      </c>
      <c r="B32" s="104">
        <v>302468</v>
      </c>
      <c r="C32" s="104">
        <v>261383</v>
      </c>
      <c r="D32" s="104">
        <v>258646</v>
      </c>
      <c r="E32" s="104">
        <v>249893</v>
      </c>
      <c r="F32" s="138">
        <v>220221</v>
      </c>
      <c r="G32" s="104">
        <v>200222</v>
      </c>
      <c r="H32" s="104">
        <v>171181</v>
      </c>
      <c r="I32" s="104">
        <v>148431</v>
      </c>
      <c r="J32" s="104">
        <v>137678</v>
      </c>
      <c r="K32" s="138">
        <v>261438</v>
      </c>
      <c r="L32" s="138">
        <v>240820</v>
      </c>
      <c r="M32" s="159"/>
      <c r="N32" s="159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</row>
    <row r="33" spans="1:25" x14ac:dyDescent="0.45">
      <c r="A33" s="62" t="s">
        <v>186</v>
      </c>
      <c r="B33" s="104">
        <v>221329</v>
      </c>
      <c r="C33" s="104">
        <v>156558</v>
      </c>
      <c r="D33" s="104">
        <v>132169</v>
      </c>
      <c r="E33" s="104">
        <v>136092</v>
      </c>
      <c r="F33" s="138">
        <v>128758</v>
      </c>
      <c r="G33" s="104">
        <v>133358</v>
      </c>
      <c r="H33" s="104">
        <v>70342</v>
      </c>
      <c r="I33" s="104">
        <v>71394</v>
      </c>
      <c r="J33" s="104">
        <v>72309</v>
      </c>
      <c r="K33" s="138">
        <v>17570</v>
      </c>
      <c r="L33" s="138">
        <v>15090</v>
      </c>
      <c r="M33" s="159"/>
      <c r="N33" s="159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</row>
    <row r="34" spans="1:25" x14ac:dyDescent="0.45">
      <c r="A34" s="62" t="s">
        <v>187</v>
      </c>
      <c r="B34" s="104">
        <v>383730</v>
      </c>
      <c r="C34" s="104">
        <v>384225</v>
      </c>
      <c r="D34" s="104">
        <v>404265</v>
      </c>
      <c r="E34" s="104">
        <v>423775</v>
      </c>
      <c r="F34" s="138">
        <v>437427</v>
      </c>
      <c r="G34" s="104">
        <v>490808</v>
      </c>
      <c r="H34" s="104">
        <v>536021</v>
      </c>
      <c r="I34" s="104">
        <v>573474</v>
      </c>
      <c r="J34" s="104">
        <v>596499</v>
      </c>
      <c r="K34" s="138">
        <v>565376</v>
      </c>
      <c r="L34" s="138">
        <v>540025</v>
      </c>
      <c r="M34" s="159"/>
      <c r="N34" s="159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</row>
    <row r="35" spans="1:25" x14ac:dyDescent="0.45">
      <c r="A35" s="62" t="s">
        <v>188</v>
      </c>
      <c r="B35" s="104">
        <v>250744</v>
      </c>
      <c r="C35" s="104">
        <v>232994</v>
      </c>
      <c r="D35" s="104">
        <v>224064</v>
      </c>
      <c r="E35" s="104">
        <v>225789</v>
      </c>
      <c r="F35" s="104">
        <v>235540</v>
      </c>
      <c r="G35" s="104">
        <v>245100</v>
      </c>
      <c r="H35" s="104">
        <v>252426</v>
      </c>
      <c r="I35" s="104">
        <v>263357</v>
      </c>
      <c r="J35" s="104">
        <v>262786</v>
      </c>
      <c r="K35" s="104">
        <v>270033</v>
      </c>
      <c r="L35" s="104">
        <v>298031</v>
      </c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</row>
    <row r="36" spans="1:25" x14ac:dyDescent="0.45">
      <c r="A36" s="62" t="s">
        <v>169</v>
      </c>
      <c r="B36" s="104">
        <v>182749</v>
      </c>
      <c r="C36" s="104">
        <v>197958</v>
      </c>
      <c r="D36" s="104">
        <v>201432</v>
      </c>
      <c r="E36" s="104">
        <v>194607</v>
      </c>
      <c r="F36" s="104">
        <v>190797</v>
      </c>
      <c r="G36" s="104">
        <v>193561</v>
      </c>
      <c r="H36" s="104">
        <v>178860</v>
      </c>
      <c r="I36" s="104">
        <v>168630</v>
      </c>
      <c r="J36" s="104">
        <v>156601</v>
      </c>
      <c r="K36" s="104">
        <v>150620</v>
      </c>
      <c r="L36" s="104">
        <v>156727</v>
      </c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</row>
    <row r="37" spans="1:25" x14ac:dyDescent="0.45">
      <c r="A37" s="62" t="s">
        <v>189</v>
      </c>
      <c r="B37" s="104">
        <v>76394</v>
      </c>
      <c r="C37" s="104">
        <v>74785</v>
      </c>
      <c r="D37" s="104">
        <v>65846</v>
      </c>
      <c r="E37" s="104">
        <v>66649</v>
      </c>
      <c r="F37" s="104">
        <v>55084</v>
      </c>
      <c r="G37" s="104">
        <v>50580</v>
      </c>
      <c r="H37" s="104">
        <v>47917</v>
      </c>
      <c r="I37" s="104">
        <v>47033</v>
      </c>
      <c r="J37" s="104">
        <v>46816</v>
      </c>
      <c r="K37" s="104">
        <v>46668</v>
      </c>
      <c r="L37" s="104">
        <v>46871</v>
      </c>
      <c r="M37" s="144"/>
      <c r="N37" s="144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</row>
    <row r="38" spans="1:25" x14ac:dyDescent="0.45">
      <c r="A38" s="62" t="s">
        <v>190</v>
      </c>
      <c r="B38" s="104">
        <v>92823</v>
      </c>
      <c r="C38" s="104">
        <v>96512</v>
      </c>
      <c r="D38" s="104">
        <v>72577</v>
      </c>
      <c r="E38" s="104">
        <v>72615</v>
      </c>
      <c r="F38" s="104">
        <v>75731</v>
      </c>
      <c r="G38" s="104">
        <v>74582</v>
      </c>
      <c r="H38" s="104">
        <v>77683</v>
      </c>
      <c r="I38" s="104">
        <v>79734</v>
      </c>
      <c r="J38" s="104">
        <v>0</v>
      </c>
      <c r="K38" s="104">
        <v>0</v>
      </c>
      <c r="L38" s="104">
        <v>0</v>
      </c>
      <c r="M38" s="144"/>
      <c r="N38" s="144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</row>
    <row r="39" spans="1:25" x14ac:dyDescent="0.45">
      <c r="A39" s="62" t="s">
        <v>191</v>
      </c>
      <c r="B39" s="104">
        <v>61975</v>
      </c>
      <c r="C39" s="104">
        <v>42063</v>
      </c>
      <c r="D39" s="104">
        <v>45169</v>
      </c>
      <c r="E39" s="104">
        <v>43672</v>
      </c>
      <c r="F39" s="104">
        <v>49326</v>
      </c>
      <c r="G39" s="104">
        <v>48039</v>
      </c>
      <c r="H39" s="104">
        <v>58281</v>
      </c>
      <c r="I39" s="104">
        <v>69329</v>
      </c>
      <c r="J39" s="104">
        <v>79638</v>
      </c>
      <c r="K39" s="104">
        <v>85225</v>
      </c>
      <c r="L39" s="104">
        <v>98431</v>
      </c>
      <c r="M39" s="144"/>
      <c r="N39" s="144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</row>
    <row r="40" spans="1:25" x14ac:dyDescent="0.45">
      <c r="A40" s="62" t="s">
        <v>192</v>
      </c>
      <c r="B40" s="104">
        <v>43974</v>
      </c>
      <c r="C40" s="104">
        <v>41628</v>
      </c>
      <c r="D40" s="104">
        <v>27068</v>
      </c>
      <c r="E40" s="104">
        <v>23614</v>
      </c>
      <c r="F40" s="104">
        <v>26586</v>
      </c>
      <c r="G40" s="104">
        <v>25865</v>
      </c>
      <c r="H40" s="104">
        <v>21215</v>
      </c>
      <c r="I40" s="104">
        <v>19379</v>
      </c>
      <c r="J40" s="104">
        <v>18349</v>
      </c>
      <c r="K40" s="104">
        <v>19288</v>
      </c>
      <c r="L40" s="104">
        <v>18654</v>
      </c>
      <c r="M40" s="144"/>
      <c r="N40" s="144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</row>
    <row r="41" spans="1:25" x14ac:dyDescent="0.45">
      <c r="A41" s="62" t="s">
        <v>168</v>
      </c>
      <c r="B41" s="104">
        <v>57210</v>
      </c>
      <c r="C41" s="104">
        <v>54948</v>
      </c>
      <c r="D41" s="104">
        <v>59868</v>
      </c>
      <c r="E41" s="104">
        <v>64580</v>
      </c>
      <c r="F41" s="104">
        <v>61626</v>
      </c>
      <c r="G41" s="104">
        <v>66620</v>
      </c>
      <c r="H41" s="104">
        <v>72296</v>
      </c>
      <c r="I41" s="104">
        <v>90592</v>
      </c>
      <c r="J41" s="104">
        <v>91704</v>
      </c>
      <c r="K41" s="104">
        <v>92534</v>
      </c>
      <c r="L41" s="104">
        <v>91510</v>
      </c>
      <c r="M41" s="144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</row>
    <row r="42" spans="1:25" x14ac:dyDescent="0.45">
      <c r="A42" s="62" t="s">
        <v>193</v>
      </c>
      <c r="B42" s="104">
        <v>32949</v>
      </c>
      <c r="C42" s="104">
        <v>16972</v>
      </c>
      <c r="D42" s="104">
        <v>11607</v>
      </c>
      <c r="E42" s="104">
        <v>10755</v>
      </c>
      <c r="F42" s="104">
        <v>14862</v>
      </c>
      <c r="G42" s="104">
        <v>14218</v>
      </c>
      <c r="H42" s="104">
        <v>13205</v>
      </c>
      <c r="I42" s="104">
        <v>12430</v>
      </c>
      <c r="J42" s="104">
        <v>17951</v>
      </c>
      <c r="K42" s="104">
        <v>18598</v>
      </c>
      <c r="L42" s="104">
        <v>15985</v>
      </c>
      <c r="M42" s="144"/>
      <c r="N42" s="144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</row>
    <row r="43" spans="1:25" x14ac:dyDescent="0.45">
      <c r="A43" s="62" t="s">
        <v>194</v>
      </c>
      <c r="B43" s="104">
        <v>8592</v>
      </c>
      <c r="C43" s="104">
        <v>6293</v>
      </c>
      <c r="D43" s="104">
        <v>5996</v>
      </c>
      <c r="E43" s="104">
        <v>5478</v>
      </c>
      <c r="F43" s="104">
        <v>5357</v>
      </c>
      <c r="G43" s="104">
        <v>4762</v>
      </c>
      <c r="H43" s="104">
        <v>3909</v>
      </c>
      <c r="I43" s="104">
        <v>7172</v>
      </c>
      <c r="J43" s="104">
        <v>8125</v>
      </c>
      <c r="K43" s="104">
        <v>10206</v>
      </c>
      <c r="L43" s="104">
        <v>9568</v>
      </c>
      <c r="M43" s="144"/>
      <c r="N43" s="144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</row>
    <row r="44" spans="1:25" x14ac:dyDescent="0.45">
      <c r="A44" s="59" t="s">
        <v>376</v>
      </c>
      <c r="B44" s="104">
        <v>0</v>
      </c>
      <c r="C44" s="104">
        <v>0</v>
      </c>
      <c r="D44" s="104">
        <v>0</v>
      </c>
      <c r="E44" s="104">
        <v>0</v>
      </c>
      <c r="F44" s="104">
        <v>0</v>
      </c>
      <c r="G44" s="104">
        <v>0</v>
      </c>
      <c r="H44" s="104">
        <v>0</v>
      </c>
      <c r="I44" s="104">
        <v>219412</v>
      </c>
      <c r="J44" s="104">
        <v>872375</v>
      </c>
      <c r="K44" s="104">
        <v>1119197</v>
      </c>
      <c r="L44" s="104">
        <v>1297986</v>
      </c>
      <c r="M44" s="144"/>
      <c r="N44" s="144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</row>
    <row r="45" spans="1:25" ht="16.5" thickBot="1" x14ac:dyDescent="0.5">
      <c r="A45" s="62" t="s">
        <v>195</v>
      </c>
      <c r="B45" s="104">
        <v>63097</v>
      </c>
      <c r="C45" s="104">
        <v>66307</v>
      </c>
      <c r="D45" s="104">
        <v>58694</v>
      </c>
      <c r="E45" s="104">
        <v>45661</v>
      </c>
      <c r="F45" s="104">
        <v>45322</v>
      </c>
      <c r="G45" s="104">
        <v>45376</v>
      </c>
      <c r="H45" s="104">
        <v>47798</v>
      </c>
      <c r="I45" s="104">
        <v>80341</v>
      </c>
      <c r="J45" s="104">
        <v>197330</v>
      </c>
      <c r="K45" s="104">
        <v>85324</v>
      </c>
      <c r="L45" s="104">
        <v>86449</v>
      </c>
      <c r="M45" s="144"/>
      <c r="N45" s="144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</row>
    <row r="46" spans="1:25" ht="16.5" thickBot="1" x14ac:dyDescent="0.5">
      <c r="A46" s="168" t="s">
        <v>163</v>
      </c>
      <c r="B46" s="169">
        <f t="shared" ref="B46:G46" si="3">SUM(B29:B45)</f>
        <v>5114848</v>
      </c>
      <c r="C46" s="169">
        <f t="shared" si="3"/>
        <v>5190492</v>
      </c>
      <c r="D46" s="169">
        <f t="shared" si="3"/>
        <v>5539957</v>
      </c>
      <c r="E46" s="169">
        <f t="shared" si="3"/>
        <v>6434813</v>
      </c>
      <c r="F46" s="169">
        <f t="shared" si="3"/>
        <v>6857052</v>
      </c>
      <c r="G46" s="169">
        <f t="shared" si="3"/>
        <v>7512818</v>
      </c>
      <c r="H46" s="169">
        <f t="shared" ref="H46:I46" si="4">SUM(H29:H45)</f>
        <v>8113957</v>
      </c>
      <c r="I46" s="169">
        <f t="shared" si="4"/>
        <v>8904340</v>
      </c>
      <c r="J46" s="169">
        <f>SUM(J29:J45)</f>
        <v>9709888</v>
      </c>
      <c r="K46" s="169">
        <f>SUM(K29:K45)</f>
        <v>9964960</v>
      </c>
      <c r="L46" s="169">
        <f>SUM(L29:L45)</f>
        <v>10345191</v>
      </c>
      <c r="M46" s="172"/>
      <c r="N46" s="172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</row>
    <row r="47" spans="1:25" x14ac:dyDescent="0.45">
      <c r="B47" s="144">
        <f t="shared" ref="B47:J47" si="5">B26-B46</f>
        <v>0</v>
      </c>
      <c r="C47" s="144">
        <f t="shared" si="5"/>
        <v>0</v>
      </c>
      <c r="D47" s="144">
        <f t="shared" si="5"/>
        <v>0</v>
      </c>
      <c r="E47" s="144">
        <f t="shared" si="5"/>
        <v>0</v>
      </c>
      <c r="F47" s="144">
        <f t="shared" si="5"/>
        <v>0</v>
      </c>
      <c r="G47" s="144">
        <f t="shared" si="5"/>
        <v>0</v>
      </c>
      <c r="H47" s="144">
        <f t="shared" si="5"/>
        <v>0</v>
      </c>
      <c r="I47" s="144">
        <f t="shared" si="5"/>
        <v>0</v>
      </c>
      <c r="J47" s="144">
        <f t="shared" si="5"/>
        <v>0</v>
      </c>
      <c r="K47" s="144">
        <f>K26-K46</f>
        <v>0</v>
      </c>
      <c r="L47" s="144">
        <f>L26-L46</f>
        <v>0</v>
      </c>
      <c r="M47" s="144"/>
      <c r="N47" s="144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</row>
    <row r="48" spans="1:25" x14ac:dyDescent="0.45"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</row>
    <row r="49" spans="1:25" x14ac:dyDescent="0.45"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</row>
    <row r="50" spans="1:25" x14ac:dyDescent="0.45"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</row>
    <row r="51" spans="1:25" x14ac:dyDescent="0.45">
      <c r="A51" s="83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</row>
    <row r="52" spans="1:25" x14ac:dyDescent="0.45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</row>
    <row r="53" spans="1:25" x14ac:dyDescent="0.45"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</row>
    <row r="54" spans="1:25" x14ac:dyDescent="0.45">
      <c r="B54" s="143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</row>
    <row r="55" spans="1:25" x14ac:dyDescent="0.45">
      <c r="B55" s="143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</row>
    <row r="56" spans="1:25" x14ac:dyDescent="0.45"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</row>
    <row r="57" spans="1:25" x14ac:dyDescent="0.45">
      <c r="B57" s="143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</row>
    <row r="58" spans="1:25" x14ac:dyDescent="0.45"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</row>
    <row r="59" spans="1:25" x14ac:dyDescent="0.45">
      <c r="A59" s="83"/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</row>
    <row r="60" spans="1:25" x14ac:dyDescent="0.45"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</row>
    <row r="61" spans="1:25" x14ac:dyDescent="0.4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</row>
    <row r="62" spans="1:25" x14ac:dyDescent="0.4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</row>
    <row r="63" spans="1:25" x14ac:dyDescent="0.4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</row>
    <row r="64" spans="1:25" x14ac:dyDescent="0.4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</row>
    <row r="65" spans="1:17" x14ac:dyDescent="0.4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</row>
    <row r="66" spans="1:17" x14ac:dyDescent="0.45">
      <c r="A66" s="83"/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</row>
    <row r="67" spans="1:17" x14ac:dyDescent="0.4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5"/>
      <c r="P67" s="145"/>
      <c r="Q67" s="145"/>
    </row>
    <row r="68" spans="1:17" x14ac:dyDescent="0.4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5"/>
      <c r="P68" s="145"/>
      <c r="Q68" s="145"/>
    </row>
    <row r="69" spans="1:17" x14ac:dyDescent="0.4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5"/>
      <c r="P69" s="145"/>
      <c r="Q69" s="145"/>
    </row>
    <row r="70" spans="1:17" x14ac:dyDescent="0.45">
      <c r="B70" s="143"/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</row>
    <row r="71" spans="1:17" x14ac:dyDescent="0.45">
      <c r="B71" s="143"/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</row>
    <row r="73" spans="1:17" x14ac:dyDescent="0.45">
      <c r="A73" s="83"/>
    </row>
    <row r="74" spans="1:17" x14ac:dyDescent="0.45">
      <c r="B74" s="143"/>
      <c r="C74" s="143"/>
      <c r="D74" s="143"/>
      <c r="E74" s="143"/>
      <c r="F74" s="143"/>
      <c r="G74" s="143"/>
      <c r="H74" s="143"/>
      <c r="I74" s="143"/>
      <c r="J74" s="143"/>
      <c r="K74" s="143"/>
      <c r="L74" s="143"/>
      <c r="M74" s="143"/>
      <c r="N74" s="143"/>
    </row>
    <row r="75" spans="1:17" x14ac:dyDescent="0.45"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</row>
    <row r="76" spans="1:17" x14ac:dyDescent="0.45">
      <c r="B76" s="143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</row>
    <row r="77" spans="1:17" x14ac:dyDescent="0.45">
      <c r="B77" s="143"/>
      <c r="C77" s="143"/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</row>
    <row r="78" spans="1:17" x14ac:dyDescent="0.45">
      <c r="B78" s="143"/>
      <c r="C78" s="143"/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3"/>
    </row>
    <row r="79" spans="1:17" x14ac:dyDescent="0.45">
      <c r="B79" s="143"/>
      <c r="C79" s="143"/>
      <c r="D79" s="143"/>
      <c r="E79" s="143"/>
      <c r="F79" s="143"/>
      <c r="G79" s="143"/>
      <c r="H79" s="143"/>
      <c r="I79" s="143"/>
      <c r="J79" s="143"/>
      <c r="K79" s="143"/>
      <c r="L79" s="143"/>
      <c r="M79" s="143"/>
      <c r="N79" s="143"/>
    </row>
    <row r="80" spans="1:17" x14ac:dyDescent="0.45">
      <c r="B80" s="143"/>
      <c r="C80" s="143"/>
      <c r="D80" s="143"/>
      <c r="E80" s="143"/>
      <c r="F80" s="143"/>
      <c r="G80" s="143"/>
      <c r="H80" s="143"/>
      <c r="I80" s="143"/>
      <c r="J80" s="143"/>
      <c r="K80" s="143"/>
      <c r="L80" s="143"/>
      <c r="M80" s="143"/>
      <c r="N80" s="143"/>
    </row>
    <row r="81" spans="1:17" x14ac:dyDescent="0.45"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3"/>
    </row>
    <row r="82" spans="1:17" x14ac:dyDescent="0.45">
      <c r="B82" s="143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</row>
    <row r="83" spans="1:17" x14ac:dyDescent="0.45">
      <c r="A83" s="83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83"/>
      <c r="P83" s="83"/>
      <c r="Q83" s="83"/>
    </row>
  </sheetData>
  <hyperlinks>
    <hyperlink ref="B6" location="Índice!A1" display="Índice"/>
    <hyperlink ref="Q6" location="Índice!A1" display="Índice"/>
  </hyperlinks>
  <pageMargins left="0.51181102362204722" right="0.51181102362204722" top="0.78740157480314965" bottom="0.78740157480314965" header="0.31496062992125984" footer="0.31496062992125984"/>
  <pageSetup paperSize="9" scale="3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Índice</vt:lpstr>
      <vt:lpstr>Balanço Patrimonial</vt:lpstr>
      <vt:lpstr>DRE Trimestral</vt:lpstr>
      <vt:lpstr>DRE Anual</vt:lpstr>
      <vt:lpstr>DRE Gerencial (Trimestral)</vt:lpstr>
      <vt:lpstr>DRE Gerencial (Anual)</vt:lpstr>
      <vt:lpstr>Captação</vt:lpstr>
      <vt:lpstr>Gerenciamento_Capital</vt:lpstr>
      <vt:lpstr>Dividendos e JCP</vt:lpstr>
      <vt:lpstr>Notas Explicativas</vt:lpstr>
    </vt:vector>
  </TitlesOfParts>
  <Company>Banco ABC Brasil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Brandt Cruvinel</dc:creator>
  <cp:lastModifiedBy>JOAO PEDRO FRANCO DE SAD</cp:lastModifiedBy>
  <cp:lastPrinted>2022-11-16T22:59:09Z</cp:lastPrinted>
  <dcterms:created xsi:type="dcterms:W3CDTF">2017-06-26T19:40:52Z</dcterms:created>
  <dcterms:modified xsi:type="dcterms:W3CDTF">2022-11-22T16:39:17Z</dcterms:modified>
</cp:coreProperties>
</file>